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anmgovco.sharepoint.com/sites/VPFM/Promocion/2026/Minerales estratégicos/Actualización de lineamientos para minerales estratégicos 2026/Determinación/Documento Determinación 2026/Anexos Documento Determinación de minerales estratégicos/"/>
    </mc:Choice>
  </mc:AlternateContent>
  <xr:revisionPtr revIDLastSave="0" documentId="8_{0FEBB5D7-1390-4747-B8D7-D9BEF48B4DB2}" xr6:coauthVersionLast="47" xr6:coauthVersionMax="47" xr10:uidLastSave="{00000000-0000-0000-0000-000000000000}"/>
  <bookViews>
    <workbookView xWindow="-110" yWindow="-110" windowWidth="19420" windowHeight="10300" tabRatio="850" firstSheet="8" activeTab="2" xr2:uid="{90E0AEC0-1C54-453A-A2F1-27BE81FB4460}"/>
  </bookViews>
  <sheets>
    <sheet name="1. Seguridad de las cadenas de " sheetId="11" r:id="rId1"/>
    <sheet name="2. Importancia econ y comercial" sheetId="12" r:id="rId2"/>
    <sheet name="3. Función productiva, industr" sheetId="14" r:id="rId3"/>
    <sheet name="4. Favorabilidad Geo-Minera" sheetId="10" r:id="rId4"/>
    <sheet name="5. Inserción mercado mundial" sheetId="1" r:id="rId5"/>
    <sheet name="6. Seguridad y Sob. Nacional" sheetId="13" r:id="rId6"/>
    <sheet name="7. Determinantes ambientales " sheetId="8" r:id="rId7"/>
    <sheet name="8. Potencial de Inserción " sheetId="15" r:id="rId8"/>
    <sheet name="Resultado final" sheetId="2" r:id="rId9"/>
  </sheets>
  <definedNames>
    <definedName name="_xlnm._FilterDatabase" localSheetId="0" hidden="1">'1. Seguridad de las cadenas de '!$AK$2:$AK$39</definedName>
    <definedName name="_xlnm._FilterDatabase" localSheetId="1" hidden="1">'2. Importancia econ y comercial'!$A$2:$AJ$4</definedName>
    <definedName name="_xlnm._FilterDatabase" localSheetId="2" hidden="1">'3. Función productiva, industr'!$B$12:$N$47</definedName>
    <definedName name="_xlnm._FilterDatabase" localSheetId="6" hidden="1">'7. Determinantes ambientales '!$A$1:$G$38</definedName>
    <definedName name="_xlnm._FilterDatabase" localSheetId="8" hidden="1">'Resultado final'!$A$3:$L$38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22" i="14" l="1"/>
  <c r="M30" i="14"/>
  <c r="M29" i="14"/>
  <c r="M28" i="14"/>
  <c r="M27" i="14"/>
  <c r="M26" i="14"/>
  <c r="M24" i="14"/>
  <c r="M23" i="14"/>
  <c r="M21" i="14"/>
  <c r="M20" i="14"/>
  <c r="M19" i="14"/>
  <c r="M18" i="14"/>
  <c r="M17" i="14"/>
  <c r="M16" i="14"/>
  <c r="M15" i="14"/>
  <c r="M14" i="14"/>
  <c r="M13" i="14"/>
  <c r="M47" i="14"/>
  <c r="M36" i="14"/>
  <c r="M37" i="14"/>
  <c r="M38" i="14"/>
  <c r="M39" i="14"/>
  <c r="M40" i="14"/>
  <c r="M41" i="14"/>
  <c r="M42" i="14"/>
  <c r="M43" i="14"/>
  <c r="M44" i="14"/>
  <c r="M45" i="14"/>
  <c r="M33" i="14"/>
  <c r="M34" i="14"/>
  <c r="M35" i="14"/>
  <c r="M32" i="14"/>
  <c r="L46" i="14"/>
  <c r="M46" i="14" s="1"/>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4" i="2"/>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D3" i="15"/>
  <c r="D4" i="15"/>
  <c r="D5" i="15"/>
  <c r="D6" i="15"/>
  <c r="D7"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45" i="15"/>
  <c r="D44" i="15"/>
  <c r="D43" i="15"/>
  <c r="D42" i="15"/>
  <c r="N3" i="1"/>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L3" i="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E34" i="1"/>
  <c r="E35" i="1"/>
  <c r="E36" i="1"/>
  <c r="E37" i="1"/>
  <c r="M55" i="1"/>
  <c r="M54" i="1"/>
  <c r="M53" i="1"/>
  <c r="M52" i="1"/>
  <c r="M47" i="1"/>
  <c r="M46" i="1"/>
  <c r="M45" i="1"/>
  <c r="M44" i="1"/>
  <c r="E55" i="1"/>
  <c r="E54" i="1"/>
  <c r="E53" i="1"/>
  <c r="E52" i="1"/>
  <c r="E47" i="1"/>
  <c r="E46" i="1"/>
  <c r="E45" i="1"/>
  <c r="E44" i="1"/>
  <c r="G22" i="2"/>
  <c r="L43" i="14"/>
  <c r="I4" i="2"/>
  <c r="I36" i="2"/>
  <c r="I38"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7" i="2"/>
  <c r="G23" i="2" l="1"/>
  <c r="G24" i="2"/>
  <c r="G25" i="2"/>
  <c r="G26" i="2"/>
  <c r="G27" i="2"/>
  <c r="G28" i="2"/>
  <c r="G29" i="2"/>
  <c r="G30" i="2"/>
  <c r="G31" i="2"/>
  <c r="G32" i="2"/>
  <c r="G33" i="2"/>
  <c r="G34" i="2"/>
  <c r="G35" i="2"/>
  <c r="G36" i="2"/>
  <c r="G37" i="2"/>
  <c r="G38" i="2"/>
  <c r="M31" i="14"/>
  <c r="L25" i="14"/>
  <c r="M25" i="14" s="1"/>
  <c r="N25" i="14" s="1"/>
  <c r="D15" i="2" s="1"/>
  <c r="L94" i="8"/>
  <c r="C37" i="8" s="1"/>
  <c r="K100" i="8"/>
  <c r="J100" i="8"/>
  <c r="I100" i="8"/>
  <c r="K99" i="8"/>
  <c r="J99" i="8"/>
  <c r="I99" i="8"/>
  <c r="L39" i="14"/>
  <c r="L33" i="14"/>
  <c r="L28" i="14"/>
  <c r="AI14" i="12"/>
  <c r="G15" i="2"/>
  <c r="K38" i="1"/>
  <c r="I38" i="1"/>
  <c r="AI38" i="12"/>
  <c r="T38" i="12"/>
  <c r="U38" i="12"/>
  <c r="V38" i="12"/>
  <c r="W38" i="12"/>
  <c r="X38" i="12"/>
  <c r="I38" i="12"/>
  <c r="J38" i="12"/>
  <c r="K38" i="12"/>
  <c r="L38" i="12"/>
  <c r="M38" i="12"/>
  <c r="AI17" i="12"/>
  <c r="T17" i="12"/>
  <c r="U17" i="12"/>
  <c r="V17" i="12"/>
  <c r="W17" i="12"/>
  <c r="X17" i="12"/>
  <c r="I17" i="12"/>
  <c r="J17" i="12"/>
  <c r="K17" i="12"/>
  <c r="L17" i="12"/>
  <c r="M17" i="12"/>
  <c r="AJ38" i="11"/>
  <c r="T38" i="11"/>
  <c r="U38" i="11"/>
  <c r="V38" i="11"/>
  <c r="W38" i="11"/>
  <c r="S38" i="11"/>
  <c r="I47" i="11"/>
  <c r="W17" i="11"/>
  <c r="AF17" i="11" s="1"/>
  <c r="V17" i="11"/>
  <c r="AE17" i="11" s="1"/>
  <c r="U17" i="11"/>
  <c r="AD17" i="11" s="1"/>
  <c r="T17" i="11"/>
  <c r="AC17" i="11" s="1"/>
  <c r="S17" i="11"/>
  <c r="N46" i="14"/>
  <c r="D37" i="2" s="1"/>
  <c r="D80" i="10" a="1"/>
  <c r="C80" i="10" a="1"/>
  <c r="K85" i="8"/>
  <c r="J85" i="8"/>
  <c r="I85" i="8"/>
  <c r="G13" i="2"/>
  <c r="G14" i="2"/>
  <c r="G16" i="2"/>
  <c r="G17" i="2"/>
  <c r="G18" i="2"/>
  <c r="G19" i="2"/>
  <c r="G20" i="2"/>
  <c r="G21" i="2"/>
  <c r="G5" i="2"/>
  <c r="G6" i="2"/>
  <c r="G7" i="2"/>
  <c r="G8" i="2"/>
  <c r="G9" i="2"/>
  <c r="G10" i="2"/>
  <c r="G11" i="2"/>
  <c r="G12" i="2"/>
  <c r="AI30" i="12"/>
  <c r="AI6" i="12"/>
  <c r="AI7" i="12"/>
  <c r="AI8" i="12"/>
  <c r="AI9" i="12"/>
  <c r="AI10" i="12"/>
  <c r="AI11" i="12"/>
  <c r="AI12" i="12"/>
  <c r="AI13" i="12"/>
  <c r="AI15" i="12"/>
  <c r="AI16" i="12"/>
  <c r="AI18" i="12"/>
  <c r="AI19" i="12"/>
  <c r="AI20" i="12"/>
  <c r="AI21" i="12"/>
  <c r="AI22" i="12"/>
  <c r="AI23" i="12"/>
  <c r="AI24" i="12"/>
  <c r="AI25" i="12"/>
  <c r="AI26" i="12"/>
  <c r="AI27" i="12"/>
  <c r="AI28" i="12"/>
  <c r="AI29" i="12"/>
  <c r="AI31" i="12"/>
  <c r="AI32" i="12"/>
  <c r="AI33" i="12"/>
  <c r="AI34" i="12"/>
  <c r="AI35" i="12"/>
  <c r="AI36" i="12"/>
  <c r="AI37" i="12"/>
  <c r="AI39" i="12"/>
  <c r="AI5" i="12"/>
  <c r="T6" i="12"/>
  <c r="U6" i="12"/>
  <c r="V6" i="12"/>
  <c r="W6" i="12"/>
  <c r="X6" i="12"/>
  <c r="T7" i="12"/>
  <c r="U7" i="12"/>
  <c r="V7" i="12"/>
  <c r="W7" i="12"/>
  <c r="X7" i="12"/>
  <c r="T8" i="12"/>
  <c r="U8" i="12"/>
  <c r="V8" i="12"/>
  <c r="W8" i="12"/>
  <c r="X8" i="12"/>
  <c r="T9" i="12"/>
  <c r="U9" i="12"/>
  <c r="V9" i="12"/>
  <c r="W9" i="12"/>
  <c r="X9" i="12"/>
  <c r="T10" i="12"/>
  <c r="U10" i="12"/>
  <c r="V10" i="12"/>
  <c r="W10" i="12"/>
  <c r="X10" i="12"/>
  <c r="T11" i="12"/>
  <c r="U11" i="12"/>
  <c r="V11" i="12"/>
  <c r="W11" i="12"/>
  <c r="X11" i="12"/>
  <c r="T12" i="12"/>
  <c r="U12" i="12"/>
  <c r="V12" i="12"/>
  <c r="W12" i="12"/>
  <c r="X12" i="12"/>
  <c r="T13" i="12"/>
  <c r="U13" i="12"/>
  <c r="V13" i="12"/>
  <c r="W13" i="12"/>
  <c r="X13" i="12"/>
  <c r="T14" i="12"/>
  <c r="U14" i="12"/>
  <c r="V14" i="12"/>
  <c r="W14" i="12"/>
  <c r="X14" i="12"/>
  <c r="T15" i="12"/>
  <c r="U15" i="12"/>
  <c r="V15" i="12"/>
  <c r="W15" i="12"/>
  <c r="X15" i="12"/>
  <c r="T16" i="12"/>
  <c r="U16" i="12"/>
  <c r="V16" i="12"/>
  <c r="W16" i="12"/>
  <c r="X16" i="12"/>
  <c r="T18" i="12"/>
  <c r="U18" i="12"/>
  <c r="V18" i="12"/>
  <c r="W18" i="12"/>
  <c r="X18" i="12"/>
  <c r="T19" i="12"/>
  <c r="U19" i="12"/>
  <c r="V19" i="12"/>
  <c r="W19" i="12"/>
  <c r="X19" i="12"/>
  <c r="T20" i="12"/>
  <c r="U20" i="12"/>
  <c r="V20" i="12"/>
  <c r="W20" i="12"/>
  <c r="X20" i="12"/>
  <c r="T21" i="12"/>
  <c r="U21" i="12"/>
  <c r="V21" i="12"/>
  <c r="W21" i="12"/>
  <c r="X21" i="12"/>
  <c r="T22" i="12"/>
  <c r="U22" i="12"/>
  <c r="V22" i="12"/>
  <c r="W22" i="12"/>
  <c r="X22" i="12"/>
  <c r="T23" i="12"/>
  <c r="U23" i="12"/>
  <c r="V23" i="12"/>
  <c r="W23" i="12"/>
  <c r="X23" i="12"/>
  <c r="T24" i="12"/>
  <c r="U24" i="12"/>
  <c r="V24" i="12"/>
  <c r="W24" i="12"/>
  <c r="X24" i="12"/>
  <c r="T25" i="12"/>
  <c r="U25" i="12"/>
  <c r="V25" i="12"/>
  <c r="W25" i="12"/>
  <c r="X25" i="12"/>
  <c r="T26" i="12"/>
  <c r="U26" i="12"/>
  <c r="V26" i="12"/>
  <c r="W26" i="12"/>
  <c r="X26" i="12"/>
  <c r="T27" i="12"/>
  <c r="U27" i="12"/>
  <c r="V27" i="12"/>
  <c r="W27" i="12"/>
  <c r="X27" i="12"/>
  <c r="T28" i="12"/>
  <c r="U28" i="12"/>
  <c r="V28" i="12"/>
  <c r="W28" i="12"/>
  <c r="X28" i="12"/>
  <c r="T29" i="12"/>
  <c r="U29" i="12"/>
  <c r="V29" i="12"/>
  <c r="W29" i="12"/>
  <c r="X29" i="12"/>
  <c r="T30" i="12"/>
  <c r="U30" i="12"/>
  <c r="V30" i="12"/>
  <c r="W30" i="12"/>
  <c r="X30" i="12"/>
  <c r="T31" i="12"/>
  <c r="U31" i="12"/>
  <c r="V31" i="12"/>
  <c r="W31" i="12"/>
  <c r="X31" i="12"/>
  <c r="T32" i="12"/>
  <c r="U32" i="12"/>
  <c r="V32" i="12"/>
  <c r="W32" i="12"/>
  <c r="X32" i="12"/>
  <c r="T33" i="12"/>
  <c r="U33" i="12"/>
  <c r="V33" i="12"/>
  <c r="W33" i="12"/>
  <c r="X33" i="12"/>
  <c r="T34" i="12"/>
  <c r="U34" i="12"/>
  <c r="V34" i="12"/>
  <c r="W34" i="12"/>
  <c r="X34" i="12"/>
  <c r="T35" i="12"/>
  <c r="U35" i="12"/>
  <c r="V35" i="12"/>
  <c r="W35" i="12"/>
  <c r="X35" i="12"/>
  <c r="T36" i="12"/>
  <c r="U36" i="12"/>
  <c r="V36" i="12"/>
  <c r="W36" i="12"/>
  <c r="X36" i="12"/>
  <c r="T37" i="12"/>
  <c r="U37" i="12"/>
  <c r="V37" i="12"/>
  <c r="W37" i="12"/>
  <c r="X37" i="12"/>
  <c r="T39" i="12"/>
  <c r="U39" i="12"/>
  <c r="V39" i="12"/>
  <c r="W39" i="12"/>
  <c r="X39" i="12"/>
  <c r="X5" i="12"/>
  <c r="W5" i="12"/>
  <c r="V5" i="12"/>
  <c r="U5" i="12"/>
  <c r="T5" i="12"/>
  <c r="I6" i="12"/>
  <c r="J6" i="12"/>
  <c r="K6" i="12"/>
  <c r="L6" i="12"/>
  <c r="M6" i="12"/>
  <c r="I7" i="12"/>
  <c r="J7" i="12"/>
  <c r="K7" i="12"/>
  <c r="L7" i="12"/>
  <c r="M7" i="12"/>
  <c r="I8" i="12"/>
  <c r="J8" i="12"/>
  <c r="K8" i="12"/>
  <c r="L8" i="12"/>
  <c r="M8" i="12"/>
  <c r="I9" i="12"/>
  <c r="J9" i="12"/>
  <c r="K9" i="12"/>
  <c r="L9" i="12"/>
  <c r="M9" i="12"/>
  <c r="I10" i="12"/>
  <c r="J10" i="12"/>
  <c r="K10" i="12"/>
  <c r="L10" i="12"/>
  <c r="M10" i="12"/>
  <c r="I11" i="12"/>
  <c r="J11" i="12"/>
  <c r="K11" i="12"/>
  <c r="L11" i="12"/>
  <c r="M11" i="12"/>
  <c r="I12" i="12"/>
  <c r="J12" i="12"/>
  <c r="K12" i="12"/>
  <c r="L12" i="12"/>
  <c r="M12" i="12"/>
  <c r="I13" i="12"/>
  <c r="J13" i="12"/>
  <c r="K13" i="12"/>
  <c r="L13" i="12"/>
  <c r="M13" i="12"/>
  <c r="I14" i="12"/>
  <c r="J14" i="12"/>
  <c r="K14" i="12"/>
  <c r="L14" i="12"/>
  <c r="M14" i="12"/>
  <c r="I15" i="12"/>
  <c r="J15" i="12"/>
  <c r="K15" i="12"/>
  <c r="L15" i="12"/>
  <c r="M15" i="12"/>
  <c r="I16" i="12"/>
  <c r="J16" i="12"/>
  <c r="K16" i="12"/>
  <c r="L16" i="12"/>
  <c r="M16" i="12"/>
  <c r="I18" i="12"/>
  <c r="J18" i="12"/>
  <c r="K18" i="12"/>
  <c r="L18" i="12"/>
  <c r="M18" i="12"/>
  <c r="I19" i="12"/>
  <c r="J19" i="12"/>
  <c r="K19" i="12"/>
  <c r="L19" i="12"/>
  <c r="M19" i="12"/>
  <c r="I20" i="12"/>
  <c r="J20" i="12"/>
  <c r="K20" i="12"/>
  <c r="L20" i="12"/>
  <c r="M20" i="12"/>
  <c r="I21" i="12"/>
  <c r="J21" i="12"/>
  <c r="K21" i="12"/>
  <c r="L21" i="12"/>
  <c r="M21" i="12"/>
  <c r="I22" i="12"/>
  <c r="J22" i="12"/>
  <c r="K22" i="12"/>
  <c r="L22" i="12"/>
  <c r="M22" i="12"/>
  <c r="I23" i="12"/>
  <c r="J23" i="12"/>
  <c r="K23" i="12"/>
  <c r="L23" i="12"/>
  <c r="M23" i="12"/>
  <c r="I24" i="12"/>
  <c r="J24" i="12"/>
  <c r="K24" i="12"/>
  <c r="L24" i="12"/>
  <c r="M24" i="12"/>
  <c r="I25" i="12"/>
  <c r="J25" i="12"/>
  <c r="K25" i="12"/>
  <c r="L25" i="12"/>
  <c r="M25" i="12"/>
  <c r="I26" i="12"/>
  <c r="J26" i="12"/>
  <c r="K26" i="12"/>
  <c r="L26" i="12"/>
  <c r="M26" i="12"/>
  <c r="I27" i="12"/>
  <c r="J27" i="12"/>
  <c r="K27" i="12"/>
  <c r="L27" i="12"/>
  <c r="M27" i="12"/>
  <c r="I28" i="12"/>
  <c r="J28" i="12"/>
  <c r="K28" i="12"/>
  <c r="L28" i="12"/>
  <c r="M28" i="12"/>
  <c r="I29" i="12"/>
  <c r="J29" i="12"/>
  <c r="K29" i="12"/>
  <c r="L29" i="12"/>
  <c r="M29" i="12"/>
  <c r="I30" i="12"/>
  <c r="J30" i="12"/>
  <c r="K30" i="12"/>
  <c r="L30" i="12"/>
  <c r="M30" i="12"/>
  <c r="I31" i="12"/>
  <c r="J31" i="12"/>
  <c r="K31" i="12"/>
  <c r="L31" i="12"/>
  <c r="M31" i="12"/>
  <c r="I32" i="12"/>
  <c r="J32" i="12"/>
  <c r="K32" i="12"/>
  <c r="L32" i="12"/>
  <c r="M32" i="12"/>
  <c r="I33" i="12"/>
  <c r="J33" i="12"/>
  <c r="K33" i="12"/>
  <c r="L33" i="12"/>
  <c r="M33" i="12"/>
  <c r="I34" i="12"/>
  <c r="J34" i="12"/>
  <c r="K34" i="12"/>
  <c r="L34" i="12"/>
  <c r="M34" i="12"/>
  <c r="I35" i="12"/>
  <c r="J35" i="12"/>
  <c r="K35" i="12"/>
  <c r="L35" i="12"/>
  <c r="M35" i="12"/>
  <c r="I36" i="12"/>
  <c r="J36" i="12"/>
  <c r="K36" i="12"/>
  <c r="L36" i="12"/>
  <c r="M36" i="12"/>
  <c r="I37" i="12"/>
  <c r="J37" i="12"/>
  <c r="K37" i="12"/>
  <c r="L37" i="12"/>
  <c r="M37" i="12"/>
  <c r="I39" i="12"/>
  <c r="J39" i="12"/>
  <c r="K39" i="12"/>
  <c r="L39" i="12"/>
  <c r="M39" i="12"/>
  <c r="M5" i="12"/>
  <c r="L5" i="12"/>
  <c r="K5" i="12"/>
  <c r="J5" i="12"/>
  <c r="I5" i="12"/>
  <c r="AF13" i="11"/>
  <c r="AB13" i="11"/>
  <c r="AC13" i="11"/>
  <c r="AJ7" i="11"/>
  <c r="AJ25" i="11"/>
  <c r="AJ35" i="11"/>
  <c r="AI7" i="11"/>
  <c r="AI25" i="11"/>
  <c r="AI35" i="11"/>
  <c r="X13" i="11"/>
  <c r="Y13" i="11" s="1"/>
  <c r="AA13" i="11" s="1"/>
  <c r="S6" i="11"/>
  <c r="T6" i="11"/>
  <c r="AC6" i="11" s="1"/>
  <c r="U6" i="11"/>
  <c r="AD6" i="11" s="1"/>
  <c r="V6" i="11"/>
  <c r="AE6" i="11" s="1"/>
  <c r="W6" i="11"/>
  <c r="AF6" i="11" s="1"/>
  <c r="S8" i="11"/>
  <c r="T8" i="11"/>
  <c r="AC8" i="11" s="1"/>
  <c r="U8" i="11"/>
  <c r="AD8" i="11" s="1"/>
  <c r="V8" i="11"/>
  <c r="AE8" i="11" s="1"/>
  <c r="W8" i="11"/>
  <c r="AF8" i="11" s="1"/>
  <c r="S9" i="11"/>
  <c r="T9" i="11"/>
  <c r="AC9" i="11" s="1"/>
  <c r="U9" i="11"/>
  <c r="AD9" i="11" s="1"/>
  <c r="V9" i="11"/>
  <c r="AE9" i="11" s="1"/>
  <c r="W9" i="11"/>
  <c r="AF9" i="11" s="1"/>
  <c r="S10" i="11"/>
  <c r="T10" i="11"/>
  <c r="AC10" i="11" s="1"/>
  <c r="U10" i="11"/>
  <c r="AD10" i="11" s="1"/>
  <c r="V10" i="11"/>
  <c r="AE10" i="11" s="1"/>
  <c r="W10" i="11"/>
  <c r="AF10" i="11" s="1"/>
  <c r="S11" i="11"/>
  <c r="T11" i="11"/>
  <c r="AC11" i="11" s="1"/>
  <c r="U11" i="11"/>
  <c r="AD11" i="11" s="1"/>
  <c r="V11" i="11"/>
  <c r="AE11" i="11" s="1"/>
  <c r="W11" i="11"/>
  <c r="AF11" i="11" s="1"/>
  <c r="S12" i="11"/>
  <c r="T12" i="11"/>
  <c r="AC12" i="11" s="1"/>
  <c r="U12" i="11"/>
  <c r="AD12" i="11" s="1"/>
  <c r="V12" i="11"/>
  <c r="AE12" i="11" s="1"/>
  <c r="W12" i="11"/>
  <c r="AF12" i="11" s="1"/>
  <c r="S14" i="11"/>
  <c r="T14" i="11"/>
  <c r="AC14" i="11" s="1"/>
  <c r="U14" i="11"/>
  <c r="AD14" i="11" s="1"/>
  <c r="V14" i="11"/>
  <c r="AE14" i="11" s="1"/>
  <c r="W14" i="11"/>
  <c r="AF14" i="11" s="1"/>
  <c r="S15" i="11"/>
  <c r="T15" i="11"/>
  <c r="AC15" i="11" s="1"/>
  <c r="U15" i="11"/>
  <c r="AD15" i="11" s="1"/>
  <c r="V15" i="11"/>
  <c r="AE15" i="11" s="1"/>
  <c r="W15" i="11"/>
  <c r="AF15" i="11" s="1"/>
  <c r="S16" i="11"/>
  <c r="T16" i="11"/>
  <c r="AC16" i="11" s="1"/>
  <c r="U16" i="11"/>
  <c r="AD16" i="11" s="1"/>
  <c r="V16" i="11"/>
  <c r="AE16" i="11" s="1"/>
  <c r="W16" i="11"/>
  <c r="AF16" i="11" s="1"/>
  <c r="S18" i="11"/>
  <c r="T18" i="11"/>
  <c r="AC18" i="11" s="1"/>
  <c r="U18" i="11"/>
  <c r="AD18" i="11" s="1"/>
  <c r="V18" i="11"/>
  <c r="AE18" i="11" s="1"/>
  <c r="W18" i="11"/>
  <c r="AF18" i="11" s="1"/>
  <c r="S19" i="11"/>
  <c r="T19" i="11"/>
  <c r="AC19" i="11" s="1"/>
  <c r="U19" i="11"/>
  <c r="AD19" i="11" s="1"/>
  <c r="V19" i="11"/>
  <c r="AE19" i="11" s="1"/>
  <c r="W19" i="11"/>
  <c r="AF19" i="11" s="1"/>
  <c r="S20" i="11"/>
  <c r="T20" i="11"/>
  <c r="AC20" i="11" s="1"/>
  <c r="U20" i="11"/>
  <c r="AD20" i="11" s="1"/>
  <c r="V20" i="11"/>
  <c r="AE20" i="11" s="1"/>
  <c r="W20" i="11"/>
  <c r="AF20" i="11" s="1"/>
  <c r="S21" i="11"/>
  <c r="T21" i="11"/>
  <c r="AC21" i="11" s="1"/>
  <c r="U21" i="11"/>
  <c r="AD21" i="11" s="1"/>
  <c r="V21" i="11"/>
  <c r="AE21" i="11" s="1"/>
  <c r="W21" i="11"/>
  <c r="AF21" i="11" s="1"/>
  <c r="S22" i="11"/>
  <c r="T22" i="11"/>
  <c r="AC22" i="11" s="1"/>
  <c r="U22" i="11"/>
  <c r="AD22" i="11" s="1"/>
  <c r="V22" i="11"/>
  <c r="AE22" i="11" s="1"/>
  <c r="W22" i="11"/>
  <c r="AF22" i="11" s="1"/>
  <c r="S23" i="11"/>
  <c r="T23" i="11"/>
  <c r="AC23" i="11" s="1"/>
  <c r="U23" i="11"/>
  <c r="AD23" i="11" s="1"/>
  <c r="V23" i="11"/>
  <c r="AE23" i="11" s="1"/>
  <c r="W23" i="11"/>
  <c r="AF23" i="11" s="1"/>
  <c r="S24" i="11"/>
  <c r="T24" i="11"/>
  <c r="AC24" i="11" s="1"/>
  <c r="U24" i="11"/>
  <c r="AD24" i="11" s="1"/>
  <c r="V24" i="11"/>
  <c r="AE24" i="11" s="1"/>
  <c r="W24" i="11"/>
  <c r="AF24" i="11" s="1"/>
  <c r="S25" i="11"/>
  <c r="T25" i="11"/>
  <c r="U25" i="11"/>
  <c r="V25" i="11"/>
  <c r="W25" i="11"/>
  <c r="S26" i="11"/>
  <c r="T26" i="11"/>
  <c r="U26" i="11"/>
  <c r="AD26" i="11" s="1"/>
  <c r="V26" i="11"/>
  <c r="W26" i="11"/>
  <c r="AF26" i="11" s="1"/>
  <c r="S27" i="11"/>
  <c r="T27" i="11"/>
  <c r="AC27" i="11" s="1"/>
  <c r="U27" i="11"/>
  <c r="AD27" i="11" s="1"/>
  <c r="V27" i="11"/>
  <c r="AE27" i="11" s="1"/>
  <c r="W27" i="11"/>
  <c r="AF27" i="11" s="1"/>
  <c r="S28" i="11"/>
  <c r="T28" i="11"/>
  <c r="AC28" i="11" s="1"/>
  <c r="U28" i="11"/>
  <c r="AD28" i="11" s="1"/>
  <c r="V28" i="11"/>
  <c r="AE28" i="11" s="1"/>
  <c r="W28" i="11"/>
  <c r="AF28" i="11" s="1"/>
  <c r="S29" i="11"/>
  <c r="T29" i="11"/>
  <c r="AC29" i="11" s="1"/>
  <c r="U29" i="11"/>
  <c r="AD29" i="11" s="1"/>
  <c r="V29" i="11"/>
  <c r="AE29" i="11" s="1"/>
  <c r="W29" i="11"/>
  <c r="AF29" i="11" s="1"/>
  <c r="S30" i="11"/>
  <c r="T30" i="11"/>
  <c r="AC30" i="11" s="1"/>
  <c r="U30" i="11"/>
  <c r="AD30" i="11" s="1"/>
  <c r="V30" i="11"/>
  <c r="AE30" i="11" s="1"/>
  <c r="W30" i="11"/>
  <c r="AF30" i="11" s="1"/>
  <c r="S31" i="11"/>
  <c r="T31" i="11"/>
  <c r="AC31" i="11" s="1"/>
  <c r="U31" i="11"/>
  <c r="AD31" i="11" s="1"/>
  <c r="V31" i="11"/>
  <c r="AE31" i="11" s="1"/>
  <c r="W31" i="11"/>
  <c r="AF31" i="11" s="1"/>
  <c r="S32" i="11"/>
  <c r="T32" i="11"/>
  <c r="AC32" i="11" s="1"/>
  <c r="U32" i="11"/>
  <c r="AD32" i="11" s="1"/>
  <c r="V32" i="11"/>
  <c r="AE32" i="11" s="1"/>
  <c r="W32" i="11"/>
  <c r="AF32" i="11" s="1"/>
  <c r="S33" i="11"/>
  <c r="T33" i="11"/>
  <c r="AC33" i="11" s="1"/>
  <c r="U33" i="11"/>
  <c r="AD33" i="11" s="1"/>
  <c r="V33" i="11"/>
  <c r="AE33" i="11" s="1"/>
  <c r="W33" i="11"/>
  <c r="AF33" i="11" s="1"/>
  <c r="S34" i="11"/>
  <c r="T34" i="11"/>
  <c r="AC34" i="11" s="1"/>
  <c r="U34" i="11"/>
  <c r="AD34" i="11" s="1"/>
  <c r="V34" i="11"/>
  <c r="AE34" i="11" s="1"/>
  <c r="W34" i="11"/>
  <c r="AF34" i="11" s="1"/>
  <c r="S35" i="11"/>
  <c r="T35" i="11"/>
  <c r="U35" i="11"/>
  <c r="V35" i="11"/>
  <c r="W35" i="11"/>
  <c r="S36" i="11"/>
  <c r="T36" i="11"/>
  <c r="AC36" i="11" s="1"/>
  <c r="U36" i="11"/>
  <c r="AD36" i="11" s="1"/>
  <c r="V36" i="11"/>
  <c r="AE36" i="11" s="1"/>
  <c r="W36" i="11"/>
  <c r="AF36" i="11" s="1"/>
  <c r="S37" i="11"/>
  <c r="T37" i="11"/>
  <c r="AC37" i="11" s="1"/>
  <c r="U37" i="11"/>
  <c r="AD37" i="11" s="1"/>
  <c r="V37" i="11"/>
  <c r="AE37" i="11" s="1"/>
  <c r="W37" i="11"/>
  <c r="AF37" i="11" s="1"/>
  <c r="S39" i="11"/>
  <c r="T39" i="11"/>
  <c r="AC39" i="11" s="1"/>
  <c r="U39" i="11"/>
  <c r="AD39" i="11" s="1"/>
  <c r="V39" i="11"/>
  <c r="AE39" i="11" s="1"/>
  <c r="W39" i="11"/>
  <c r="AF39" i="11" s="1"/>
  <c r="T5" i="11"/>
  <c r="AC5" i="11" s="1"/>
  <c r="U5" i="11"/>
  <c r="AD5" i="11" s="1"/>
  <c r="V5" i="11"/>
  <c r="AE5" i="11" s="1"/>
  <c r="W5" i="11"/>
  <c r="AF5" i="11" s="1"/>
  <c r="S5" i="11"/>
  <c r="G49" i="12"/>
  <c r="G48" i="12"/>
  <c r="G47" i="12"/>
  <c r="G46" i="12"/>
  <c r="C49" i="12"/>
  <c r="C48" i="12"/>
  <c r="C47" i="12"/>
  <c r="C46" i="12"/>
  <c r="I48" i="11"/>
  <c r="I46" i="11"/>
  <c r="I45" i="11"/>
  <c r="C48" i="11"/>
  <c r="C47" i="11"/>
  <c r="C46" i="11"/>
  <c r="C45" i="11"/>
  <c r="L13" i="14"/>
  <c r="L40" i="14"/>
  <c r="L47" i="14"/>
  <c r="L45" i="14"/>
  <c r="L44" i="14"/>
  <c r="L42" i="14"/>
  <c r="L41" i="14"/>
  <c r="L37" i="14"/>
  <c r="L36" i="14"/>
  <c r="L35" i="14"/>
  <c r="L34" i="14"/>
  <c r="L32" i="14"/>
  <c r="L31" i="14"/>
  <c r="L38" i="14"/>
  <c r="L30" i="14"/>
  <c r="L29" i="14"/>
  <c r="L27" i="14"/>
  <c r="L26" i="14"/>
  <c r="L24" i="14"/>
  <c r="L23" i="14"/>
  <c r="L22" i="14"/>
  <c r="L21" i="14"/>
  <c r="L20" i="14"/>
  <c r="L19" i="14"/>
  <c r="L18" i="14"/>
  <c r="L17" i="14"/>
  <c r="L16" i="14"/>
  <c r="L15" i="14"/>
  <c r="L14" i="14"/>
  <c r="K93" i="8"/>
  <c r="J93" i="8"/>
  <c r="I93" i="8"/>
  <c r="K92" i="8"/>
  <c r="J92" i="8"/>
  <c r="I92" i="8"/>
  <c r="K91" i="8"/>
  <c r="J91" i="8"/>
  <c r="I91" i="8"/>
  <c r="K90" i="8"/>
  <c r="J90" i="8"/>
  <c r="I90" i="8"/>
  <c r="K84" i="8"/>
  <c r="J84" i="8"/>
  <c r="I84" i="8"/>
  <c r="K83" i="8"/>
  <c r="J83" i="8"/>
  <c r="I83" i="8"/>
  <c r="K82" i="8"/>
  <c r="J82" i="8"/>
  <c r="I82" i="8"/>
  <c r="K81" i="8"/>
  <c r="J81" i="8"/>
  <c r="I81" i="8"/>
  <c r="K80" i="8"/>
  <c r="J80" i="8"/>
  <c r="I80" i="8"/>
  <c r="K79" i="8"/>
  <c r="J79" i="8"/>
  <c r="I79" i="8"/>
  <c r="K78" i="8"/>
  <c r="J78" i="8"/>
  <c r="I78" i="8"/>
  <c r="K77" i="8"/>
  <c r="J77" i="8"/>
  <c r="I77" i="8"/>
  <c r="K76" i="8"/>
  <c r="J76" i="8"/>
  <c r="I76" i="8"/>
  <c r="K75" i="8"/>
  <c r="J75" i="8"/>
  <c r="I75" i="8"/>
  <c r="K74" i="8"/>
  <c r="J74" i="8"/>
  <c r="I74" i="8"/>
  <c r="K73" i="8"/>
  <c r="J73" i="8"/>
  <c r="I73" i="8"/>
  <c r="K72" i="8"/>
  <c r="J72" i="8"/>
  <c r="I72" i="8"/>
  <c r="K71" i="8"/>
  <c r="J71" i="8"/>
  <c r="I71" i="8"/>
  <c r="K70" i="8"/>
  <c r="J70" i="8"/>
  <c r="I70" i="8"/>
  <c r="K69" i="8"/>
  <c r="J69" i="8"/>
  <c r="I69" i="8"/>
  <c r="K68" i="8"/>
  <c r="J68" i="8"/>
  <c r="I68" i="8"/>
  <c r="K67" i="8"/>
  <c r="J67" i="8"/>
  <c r="I67" i="8"/>
  <c r="K66" i="8"/>
  <c r="J66" i="8"/>
  <c r="I66" i="8"/>
  <c r="K65" i="8"/>
  <c r="J65" i="8"/>
  <c r="I65" i="8"/>
  <c r="K64" i="8"/>
  <c r="J64" i="8"/>
  <c r="I64" i="8"/>
  <c r="K63" i="8"/>
  <c r="J63" i="8"/>
  <c r="I63" i="8"/>
  <c r="K62" i="8"/>
  <c r="J62" i="8"/>
  <c r="I62" i="8"/>
  <c r="K61" i="8"/>
  <c r="J61" i="8"/>
  <c r="I61" i="8"/>
  <c r="K60" i="8"/>
  <c r="J60" i="8"/>
  <c r="I60" i="8"/>
  <c r="K59" i="8"/>
  <c r="J59" i="8"/>
  <c r="I59" i="8"/>
  <c r="K58" i="8"/>
  <c r="J58" i="8"/>
  <c r="I58" i="8"/>
  <c r="K57" i="8"/>
  <c r="J57" i="8"/>
  <c r="I57" i="8"/>
  <c r="K56" i="8"/>
  <c r="J56" i="8"/>
  <c r="I56" i="8"/>
  <c r="K55" i="8"/>
  <c r="J55" i="8"/>
  <c r="I55" i="8"/>
  <c r="K54" i="8"/>
  <c r="J54" i="8"/>
  <c r="I54" i="8"/>
  <c r="K53" i="8"/>
  <c r="J53" i="8"/>
  <c r="I53" i="8"/>
  <c r="K52" i="8"/>
  <c r="J52" i="8"/>
  <c r="I52" i="8"/>
  <c r="K51" i="8"/>
  <c r="J51" i="8"/>
  <c r="I51" i="8"/>
  <c r="K50" i="8"/>
  <c r="J50" i="8"/>
  <c r="I50" i="8"/>
  <c r="K49" i="8"/>
  <c r="J49" i="8"/>
  <c r="I49" i="8"/>
  <c r="K48" i="8"/>
  <c r="J48" i="8"/>
  <c r="I48" i="8"/>
  <c r="K47" i="8"/>
  <c r="J47" i="8"/>
  <c r="I47" i="8"/>
  <c r="K46" i="8"/>
  <c r="J46" i="8"/>
  <c r="I46" i="8"/>
  <c r="K45" i="8"/>
  <c r="J45" i="8"/>
  <c r="I45" i="8"/>
  <c r="K44" i="8"/>
  <c r="J44" i="8"/>
  <c r="I44" i="8"/>
  <c r="K43" i="8"/>
  <c r="J43" i="8"/>
  <c r="I43" i="8"/>
  <c r="G4" i="2"/>
  <c r="M6" i="1" l="1"/>
  <c r="Y31" i="12"/>
  <c r="AH31" i="12" s="1"/>
  <c r="Y33" i="12"/>
  <c r="AH33" i="12" s="1"/>
  <c r="Y23" i="12"/>
  <c r="AH23" i="12" s="1"/>
  <c r="Y10" i="12"/>
  <c r="AH10" i="12" s="1"/>
  <c r="Y37" i="12"/>
  <c r="AH37" i="12" s="1"/>
  <c r="N35" i="12"/>
  <c r="AG35" i="12" s="1"/>
  <c r="N23" i="12"/>
  <c r="AG23" i="12" s="1"/>
  <c r="Y38" i="12"/>
  <c r="AH38" i="12" s="1"/>
  <c r="Y29" i="12"/>
  <c r="AH29" i="12" s="1"/>
  <c r="N20" i="12"/>
  <c r="AG20" i="12" s="1"/>
  <c r="N7" i="12"/>
  <c r="AG7" i="12" s="1"/>
  <c r="Y34" i="12"/>
  <c r="AH34" i="12" s="1"/>
  <c r="Y6" i="12"/>
  <c r="AH6" i="12" s="1"/>
  <c r="Y8" i="12"/>
  <c r="AH8" i="12" s="1"/>
  <c r="AK25" i="11"/>
  <c r="B24" i="2" s="1"/>
  <c r="Y14" i="12"/>
  <c r="AH14" i="12" s="1"/>
  <c r="N34" i="12"/>
  <c r="AG34" i="12" s="1"/>
  <c r="N22" i="12"/>
  <c r="AG22" i="12" s="1"/>
  <c r="Y22" i="12"/>
  <c r="AH22" i="12" s="1"/>
  <c r="Y9" i="12"/>
  <c r="AH9" i="12" s="1"/>
  <c r="N36" i="12"/>
  <c r="AG36" i="12" s="1"/>
  <c r="N9" i="12"/>
  <c r="AG9" i="12" s="1"/>
  <c r="Y16" i="12"/>
  <c r="AH16" i="12" s="1"/>
  <c r="N24" i="12"/>
  <c r="AG24" i="12" s="1"/>
  <c r="N11" i="12"/>
  <c r="AG11" i="12" s="1"/>
  <c r="Y19" i="12"/>
  <c r="AH19" i="12" s="1"/>
  <c r="Y11" i="12"/>
  <c r="AH11" i="12" s="1"/>
  <c r="N39" i="12"/>
  <c r="AG39" i="12" s="1"/>
  <c r="N26" i="12"/>
  <c r="AG26" i="12" s="1"/>
  <c r="N19" i="12"/>
  <c r="AG19" i="12" s="1"/>
  <c r="N13" i="12"/>
  <c r="AG13" i="12" s="1"/>
  <c r="N15" i="12"/>
  <c r="AG15" i="12" s="1"/>
  <c r="Y35" i="12"/>
  <c r="AH35" i="12" s="1"/>
  <c r="Y21" i="12"/>
  <c r="AH21" i="12" s="1"/>
  <c r="N28" i="12"/>
  <c r="AG28" i="12" s="1"/>
  <c r="N18" i="12"/>
  <c r="AG18" i="12" s="1"/>
  <c r="N30" i="12"/>
  <c r="AG30" i="12" s="1"/>
  <c r="N10" i="12"/>
  <c r="AG10" i="12" s="1"/>
  <c r="Y25" i="12"/>
  <c r="AH25" i="12" s="1"/>
  <c r="N32" i="12"/>
  <c r="AG32" i="12" s="1"/>
  <c r="Y27" i="12"/>
  <c r="AH27" i="12" s="1"/>
  <c r="Y12" i="12"/>
  <c r="AH12" i="12" s="1"/>
  <c r="D9" i="14"/>
  <c r="N29" i="12"/>
  <c r="AG29" i="12" s="1"/>
  <c r="Y15" i="12"/>
  <c r="AH15" i="12" s="1"/>
  <c r="N25" i="12"/>
  <c r="AG25" i="12" s="1"/>
  <c r="N31" i="12"/>
  <c r="AG31" i="12" s="1"/>
  <c r="N6" i="12"/>
  <c r="AG6" i="12" s="1"/>
  <c r="Y18" i="12"/>
  <c r="AH18" i="12" s="1"/>
  <c r="Y36" i="12"/>
  <c r="AH36" i="12" s="1"/>
  <c r="N33" i="12"/>
  <c r="AG33" i="12" s="1"/>
  <c r="N8" i="12"/>
  <c r="AG8" i="12" s="1"/>
  <c r="Y5" i="12"/>
  <c r="AH5" i="12" s="1"/>
  <c r="Y20" i="12"/>
  <c r="AH20" i="12" s="1"/>
  <c r="AK35" i="11"/>
  <c r="B34" i="2" s="1"/>
  <c r="N37" i="12"/>
  <c r="AG37" i="12" s="1"/>
  <c r="N12" i="12"/>
  <c r="AG12" i="12" s="1"/>
  <c r="Y24" i="12"/>
  <c r="AH24" i="12" s="1"/>
  <c r="N38" i="12"/>
  <c r="AG38" i="12" s="1"/>
  <c r="N14" i="12"/>
  <c r="AG14" i="12" s="1"/>
  <c r="Y26" i="12"/>
  <c r="AH26" i="12" s="1"/>
  <c r="N17" i="12"/>
  <c r="AG17" i="12" s="1"/>
  <c r="AK7" i="11"/>
  <c r="B6" i="2" s="1"/>
  <c r="N16" i="12"/>
  <c r="AG16" i="12" s="1"/>
  <c r="Y28" i="12"/>
  <c r="AH28" i="12" s="1"/>
  <c r="Y30" i="12"/>
  <c r="AH30" i="12" s="1"/>
  <c r="Y17" i="12"/>
  <c r="AH17" i="12" s="1"/>
  <c r="N21" i="12"/>
  <c r="AG21" i="12" s="1"/>
  <c r="Y32" i="12"/>
  <c r="AH32" i="12" s="1"/>
  <c r="Y7" i="12"/>
  <c r="AH7" i="12" s="1"/>
  <c r="N27" i="12"/>
  <c r="AG27" i="12" s="1"/>
  <c r="Y39" i="12"/>
  <c r="AH39" i="12" s="1"/>
  <c r="Y13" i="12"/>
  <c r="AH13" i="12" s="1"/>
  <c r="N5" i="12"/>
  <c r="AG5" i="12" s="1"/>
  <c r="X38" i="11"/>
  <c r="Y38" i="11" s="1"/>
  <c r="AA38" i="11" s="1"/>
  <c r="AI38" i="11" s="1"/>
  <c r="AK38" i="11" s="1"/>
  <c r="B37" i="2" s="1"/>
  <c r="L43" i="8"/>
  <c r="L44" i="8"/>
  <c r="L45" i="8"/>
  <c r="L46" i="8"/>
  <c r="C8" i="8" s="1"/>
  <c r="L47" i="8"/>
  <c r="C38" i="8" s="1"/>
  <c r="L48" i="8"/>
  <c r="L49" i="8"/>
  <c r="C13" i="8" s="1"/>
  <c r="L50" i="8"/>
  <c r="C17" i="8" s="1"/>
  <c r="L51" i="8"/>
  <c r="C20" i="8" s="1"/>
  <c r="L52" i="8"/>
  <c r="L53" i="8"/>
  <c r="C24" i="8" s="1"/>
  <c r="L54" i="8"/>
  <c r="C26" i="8" s="1"/>
  <c r="L55" i="8"/>
  <c r="C28" i="8" s="1"/>
  <c r="L56" i="8"/>
  <c r="L57" i="8"/>
  <c r="C36" i="8" s="1"/>
  <c r="L58" i="8"/>
  <c r="C23" i="8" s="1"/>
  <c r="L59" i="8"/>
  <c r="L60" i="8"/>
  <c r="C29" i="8" s="1"/>
  <c r="L61" i="8"/>
  <c r="C31" i="8" s="1"/>
  <c r="L62" i="8"/>
  <c r="C7" i="8" s="1"/>
  <c r="L63" i="8"/>
  <c r="L64" i="8"/>
  <c r="L65" i="8"/>
  <c r="C21" i="8" s="1"/>
  <c r="L66" i="8"/>
  <c r="C27" i="8" s="1"/>
  <c r="L67" i="8"/>
  <c r="C9" i="8" s="1"/>
  <c r="L68" i="8"/>
  <c r="L69" i="8"/>
  <c r="C10" i="8" s="1"/>
  <c r="L70" i="8"/>
  <c r="L71" i="8"/>
  <c r="C18" i="8" s="1"/>
  <c r="L72" i="8"/>
  <c r="L73" i="8"/>
  <c r="C35" i="8" s="1"/>
  <c r="L74" i="8"/>
  <c r="L75" i="8"/>
  <c r="C11" i="8" s="1"/>
  <c r="L76" i="8"/>
  <c r="C34" i="8" s="1"/>
  <c r="L77" i="8"/>
  <c r="C32" i="8" s="1"/>
  <c r="L78" i="8"/>
  <c r="L79" i="8"/>
  <c r="C4" i="8" s="1"/>
  <c r="L80" i="8"/>
  <c r="L81" i="8"/>
  <c r="C14" i="8" s="1"/>
  <c r="L82" i="8"/>
  <c r="L83" i="8"/>
  <c r="L84" i="8"/>
  <c r="C33" i="8" s="1"/>
  <c r="L90" i="8"/>
  <c r="C5" i="8" s="1"/>
  <c r="L91" i="8"/>
  <c r="C6" i="8" s="1"/>
  <c r="L92" i="8"/>
  <c r="C15" i="8" s="1"/>
  <c r="L93" i="8"/>
  <c r="C12" i="8" s="1"/>
  <c r="L85" i="8"/>
  <c r="C16" i="8" s="1"/>
  <c r="L99" i="8"/>
  <c r="C30" i="8" s="1"/>
  <c r="L100" i="8"/>
  <c r="C19" i="8" s="1"/>
  <c r="E113" i="10"/>
  <c r="E37" i="2" s="1"/>
  <c r="E114" i="10"/>
  <c r="E82" i="10"/>
  <c r="E6" i="2" s="1"/>
  <c r="E83" i="10"/>
  <c r="E84" i="10"/>
  <c r="E85" i="10"/>
  <c r="E86" i="10"/>
  <c r="E87" i="10"/>
  <c r="E88" i="10"/>
  <c r="E89" i="10"/>
  <c r="E90" i="10"/>
  <c r="E91" i="10"/>
  <c r="E92" i="10"/>
  <c r="E15" i="2" s="1"/>
  <c r="E81" i="10"/>
  <c r="M3" i="1"/>
  <c r="M4" i="1"/>
  <c r="M5"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AB17" i="11"/>
  <c r="AG17" i="11" s="1"/>
  <c r="AH17" i="11" s="1"/>
  <c r="AJ17" i="11" s="1"/>
  <c r="X17" i="11"/>
  <c r="Y17" i="11" s="1"/>
  <c r="AA17" i="11" s="1"/>
  <c r="AI17" i="11" s="1"/>
  <c r="AB5" i="11"/>
  <c r="AG5" i="11" s="1"/>
  <c r="AH5" i="11" s="1"/>
  <c r="AJ5" i="11" s="1"/>
  <c r="X5" i="11"/>
  <c r="Y5" i="11" s="1"/>
  <c r="AA5" i="11" s="1"/>
  <c r="AI5" i="11" s="1"/>
  <c r="AB39" i="11"/>
  <c r="AG39" i="11" s="1"/>
  <c r="AH39" i="11" s="1"/>
  <c r="AJ39" i="11" s="1"/>
  <c r="X39" i="11"/>
  <c r="Y39" i="11" s="1"/>
  <c r="AA39" i="11" s="1"/>
  <c r="AI39" i="11" s="1"/>
  <c r="AB37" i="11"/>
  <c r="AG37" i="11" s="1"/>
  <c r="AH37" i="11" s="1"/>
  <c r="AJ37" i="11" s="1"/>
  <c r="X37" i="11"/>
  <c r="Y37" i="11" s="1"/>
  <c r="AA37" i="11" s="1"/>
  <c r="AI37" i="11" s="1"/>
  <c r="AB36" i="11"/>
  <c r="AG36" i="11" s="1"/>
  <c r="AH36" i="11" s="1"/>
  <c r="AJ36" i="11" s="1"/>
  <c r="X36" i="11"/>
  <c r="Y36" i="11" s="1"/>
  <c r="AA36" i="11" s="1"/>
  <c r="AI36" i="11" s="1"/>
  <c r="X35" i="11"/>
  <c r="Y35" i="11" s="1"/>
  <c r="AB34" i="11"/>
  <c r="AG34" i="11" s="1"/>
  <c r="AH34" i="11" s="1"/>
  <c r="AJ34" i="11" s="1"/>
  <c r="X34" i="11"/>
  <c r="Y34" i="11" s="1"/>
  <c r="AA34" i="11" s="1"/>
  <c r="AI34" i="11" s="1"/>
  <c r="AB33" i="11"/>
  <c r="AG33" i="11" s="1"/>
  <c r="AH33" i="11" s="1"/>
  <c r="AJ33" i="11" s="1"/>
  <c r="X33" i="11"/>
  <c r="Y33" i="11" s="1"/>
  <c r="AA33" i="11" s="1"/>
  <c r="AI33" i="11" s="1"/>
  <c r="AB32" i="11"/>
  <c r="AG32" i="11" s="1"/>
  <c r="AH32" i="11" s="1"/>
  <c r="AJ32" i="11" s="1"/>
  <c r="X32" i="11"/>
  <c r="Y32" i="11" s="1"/>
  <c r="AA32" i="11" s="1"/>
  <c r="AI32" i="11" s="1"/>
  <c r="AB31" i="11"/>
  <c r="AG31" i="11" s="1"/>
  <c r="AH31" i="11" s="1"/>
  <c r="AJ31" i="11" s="1"/>
  <c r="X31" i="11"/>
  <c r="Y31" i="11" s="1"/>
  <c r="AA31" i="11" s="1"/>
  <c r="AI31" i="11" s="1"/>
  <c r="AB30" i="11"/>
  <c r="X30" i="11"/>
  <c r="Y30" i="11" s="1"/>
  <c r="AA30" i="11" s="1"/>
  <c r="AI30" i="11" s="1"/>
  <c r="AB29" i="11"/>
  <c r="AG29" i="11" s="1"/>
  <c r="AH29" i="11" s="1"/>
  <c r="AJ29" i="11" s="1"/>
  <c r="X29" i="11"/>
  <c r="Y29" i="11" s="1"/>
  <c r="AA29" i="11" s="1"/>
  <c r="AI29" i="11" s="1"/>
  <c r="AB28" i="11"/>
  <c r="AG28" i="11" s="1"/>
  <c r="AH28" i="11" s="1"/>
  <c r="AJ28" i="11" s="1"/>
  <c r="X28" i="11"/>
  <c r="Y28" i="11" s="1"/>
  <c r="AA28" i="11" s="1"/>
  <c r="AI28" i="11" s="1"/>
  <c r="AB27" i="11"/>
  <c r="AG27" i="11" s="1"/>
  <c r="AH27" i="11" s="1"/>
  <c r="AJ27" i="11" s="1"/>
  <c r="X27" i="11"/>
  <c r="Y27" i="11" s="1"/>
  <c r="AA27" i="11" s="1"/>
  <c r="AI27" i="11" s="1"/>
  <c r="AB26" i="11"/>
  <c r="AG26" i="11" s="1"/>
  <c r="AH26" i="11" s="1"/>
  <c r="AJ26" i="11" s="1"/>
  <c r="X26" i="11"/>
  <c r="Y26" i="11" s="1"/>
  <c r="AA26" i="11" s="1"/>
  <c r="AI26" i="11" s="1"/>
  <c r="X25" i="11"/>
  <c r="Y25" i="11" s="1"/>
  <c r="AB24" i="11"/>
  <c r="AG24" i="11" s="1"/>
  <c r="AH24" i="11" s="1"/>
  <c r="AJ24" i="11" s="1"/>
  <c r="X24" i="11"/>
  <c r="Y24" i="11" s="1"/>
  <c r="AA24" i="11" s="1"/>
  <c r="AI24" i="11" s="1"/>
  <c r="AB23" i="11"/>
  <c r="AG23" i="11" s="1"/>
  <c r="AH23" i="11" s="1"/>
  <c r="AJ23" i="11" s="1"/>
  <c r="X23" i="11"/>
  <c r="Y23" i="11" s="1"/>
  <c r="AA23" i="11" s="1"/>
  <c r="AI23" i="11" s="1"/>
  <c r="AB22" i="11"/>
  <c r="AG22" i="11" s="1"/>
  <c r="AH22" i="11" s="1"/>
  <c r="AJ22" i="11" s="1"/>
  <c r="X22" i="11"/>
  <c r="Y22" i="11" s="1"/>
  <c r="AA22" i="11" s="1"/>
  <c r="AI22" i="11" s="1"/>
  <c r="AB21" i="11"/>
  <c r="AG21" i="11" s="1"/>
  <c r="AH21" i="11" s="1"/>
  <c r="AJ21" i="11" s="1"/>
  <c r="X21" i="11"/>
  <c r="Y21" i="11" s="1"/>
  <c r="AA21" i="11" s="1"/>
  <c r="AI21" i="11" s="1"/>
  <c r="AB20" i="11"/>
  <c r="AG20" i="11" s="1"/>
  <c r="AH20" i="11" s="1"/>
  <c r="AJ20" i="11" s="1"/>
  <c r="X20" i="11"/>
  <c r="Y20" i="11" s="1"/>
  <c r="AA20" i="11" s="1"/>
  <c r="AI20" i="11" s="1"/>
  <c r="AB19" i="11"/>
  <c r="AG19" i="11" s="1"/>
  <c r="AH19" i="11" s="1"/>
  <c r="AJ19" i="11" s="1"/>
  <c r="X19" i="11"/>
  <c r="Y19" i="11" s="1"/>
  <c r="AA19" i="11" s="1"/>
  <c r="AI19" i="11" s="1"/>
  <c r="AB18" i="11"/>
  <c r="AG18" i="11" s="1"/>
  <c r="AH18" i="11" s="1"/>
  <c r="AJ18" i="11" s="1"/>
  <c r="X18" i="11"/>
  <c r="Y18" i="11" s="1"/>
  <c r="AA18" i="11" s="1"/>
  <c r="AI18" i="11" s="1"/>
  <c r="AB16" i="11"/>
  <c r="AG16" i="11" s="1"/>
  <c r="AH16" i="11" s="1"/>
  <c r="AJ16" i="11" s="1"/>
  <c r="X16" i="11"/>
  <c r="Y16" i="11" s="1"/>
  <c r="AA16" i="11" s="1"/>
  <c r="AI16" i="11" s="1"/>
  <c r="AB15" i="11"/>
  <c r="AG15" i="11" s="1"/>
  <c r="AH15" i="11" s="1"/>
  <c r="AJ15" i="11" s="1"/>
  <c r="X15" i="11"/>
  <c r="Y15" i="11" s="1"/>
  <c r="AA15" i="11" s="1"/>
  <c r="AI15" i="11" s="1"/>
  <c r="AB14" i="11"/>
  <c r="AG14" i="11" s="1"/>
  <c r="AH14" i="11" s="1"/>
  <c r="AJ14" i="11" s="1"/>
  <c r="X14" i="11"/>
  <c r="Y14" i="11" s="1"/>
  <c r="AA14" i="11" s="1"/>
  <c r="AI14" i="11" s="1"/>
  <c r="AB12" i="11"/>
  <c r="AG12" i="11" s="1"/>
  <c r="AH12" i="11" s="1"/>
  <c r="AJ12" i="11" s="1"/>
  <c r="X12" i="11"/>
  <c r="Y12" i="11" s="1"/>
  <c r="AA12" i="11" s="1"/>
  <c r="AI12" i="11" s="1"/>
  <c r="AB11" i="11"/>
  <c r="AG11" i="11" s="1"/>
  <c r="AH11" i="11" s="1"/>
  <c r="AJ11" i="11" s="1"/>
  <c r="X11" i="11"/>
  <c r="Y11" i="11" s="1"/>
  <c r="AA11" i="11" s="1"/>
  <c r="AI11" i="11" s="1"/>
  <c r="AB10" i="11"/>
  <c r="AG10" i="11" s="1"/>
  <c r="AH10" i="11" s="1"/>
  <c r="AJ10" i="11" s="1"/>
  <c r="X10" i="11"/>
  <c r="Y10" i="11" s="1"/>
  <c r="AA10" i="11" s="1"/>
  <c r="AI10" i="11" s="1"/>
  <c r="AB9" i="11"/>
  <c r="AG9" i="11" s="1"/>
  <c r="AH9" i="11" s="1"/>
  <c r="AJ9" i="11" s="1"/>
  <c r="X9" i="11"/>
  <c r="Y9" i="11" s="1"/>
  <c r="AA9" i="11" s="1"/>
  <c r="AI9" i="11" s="1"/>
  <c r="AB8" i="11"/>
  <c r="AG8" i="11" s="1"/>
  <c r="AH8" i="11" s="1"/>
  <c r="AJ8" i="11" s="1"/>
  <c r="X8" i="11"/>
  <c r="Y8" i="11" s="1"/>
  <c r="AA8" i="11" s="1"/>
  <c r="AI8" i="11" s="1"/>
  <c r="AB6" i="11"/>
  <c r="AG6" i="11" s="1"/>
  <c r="AH6" i="11" s="1"/>
  <c r="AJ6" i="11" s="1"/>
  <c r="X6" i="11"/>
  <c r="Y6" i="11" s="1"/>
  <c r="AA6" i="11" s="1"/>
  <c r="AI6" i="11" s="1"/>
  <c r="AI13" i="11"/>
  <c r="AG13" i="11"/>
  <c r="AH13" i="11" s="1"/>
  <c r="AJ13" i="11" s="1"/>
  <c r="J3" i="1"/>
  <c r="D11" i="14"/>
  <c r="D10" i="14"/>
  <c r="E112" i="10"/>
  <c r="E111" i="10"/>
  <c r="E110" i="10"/>
  <c r="E109" i="10"/>
  <c r="E108" i="10"/>
  <c r="E107" i="10"/>
  <c r="E106" i="10"/>
  <c r="E30" i="2" s="1"/>
  <c r="E105" i="10"/>
  <c r="E104" i="10"/>
  <c r="E103" i="10"/>
  <c r="E102" i="10"/>
  <c r="E101" i="10"/>
  <c r="E100" i="10"/>
  <c r="E99" i="10"/>
  <c r="E98" i="10"/>
  <c r="E97" i="10"/>
  <c r="E96" i="10"/>
  <c r="E95" i="10"/>
  <c r="E19" i="2" s="1"/>
  <c r="E94" i="10"/>
  <c r="E93" i="10"/>
  <c r="C38" i="1"/>
  <c r="N43" i="14" l="1"/>
  <c r="D34" i="2" s="1"/>
  <c r="AJ31" i="12"/>
  <c r="C30" i="2" s="1"/>
  <c r="AJ36" i="12"/>
  <c r="C35" i="2" s="1"/>
  <c r="AJ20" i="12"/>
  <c r="C19" i="2" s="1"/>
  <c r="AK6" i="11"/>
  <c r="B5" i="2" s="1"/>
  <c r="AJ33" i="12"/>
  <c r="C32" i="2" s="1"/>
  <c r="AJ22" i="12"/>
  <c r="C21" i="2" s="1"/>
  <c r="AJ35" i="12"/>
  <c r="C34" i="2" s="1"/>
  <c r="AJ13" i="12"/>
  <c r="C12" i="2" s="1"/>
  <c r="AJ7" i="12"/>
  <c r="C6" i="2" s="1"/>
  <c r="AJ38" i="12"/>
  <c r="C37" i="2" s="1"/>
  <c r="J37" i="2" s="1"/>
  <c r="AK27" i="11"/>
  <c r="B26" i="2" s="1"/>
  <c r="AK33" i="11"/>
  <c r="B32" i="2" s="1"/>
  <c r="AJ30" i="12"/>
  <c r="C29" i="2" s="1"/>
  <c r="AK14" i="11"/>
  <c r="B13" i="2" s="1"/>
  <c r="AJ25" i="12"/>
  <c r="C24" i="2" s="1"/>
  <c r="N39" i="14"/>
  <c r="D30" i="2" s="1"/>
  <c r="AK12" i="11"/>
  <c r="B11" i="2" s="1"/>
  <c r="AK20" i="11"/>
  <c r="B19" i="2" s="1"/>
  <c r="AK5" i="11"/>
  <c r="B4" i="2" s="1"/>
  <c r="AJ17" i="12"/>
  <c r="C15" i="2" s="1"/>
  <c r="J15" i="2" s="1"/>
  <c r="AK21" i="11"/>
  <c r="B20" i="2" s="1"/>
  <c r="AK17" i="11"/>
  <c r="B15" i="2" s="1"/>
  <c r="AK9" i="11"/>
  <c r="B8" i="2" s="1"/>
  <c r="AK16" i="11"/>
  <c r="B16" i="2" s="1"/>
  <c r="AK23" i="11"/>
  <c r="B22" i="2" s="1"/>
  <c r="AK36" i="11"/>
  <c r="B35" i="2" s="1"/>
  <c r="O30" i="1"/>
  <c r="O18" i="1"/>
  <c r="O6" i="1"/>
  <c r="O31" i="1"/>
  <c r="O7" i="1"/>
  <c r="AK28" i="11"/>
  <c r="B27" i="2" s="1"/>
  <c r="AK34" i="11"/>
  <c r="B33" i="2" s="1"/>
  <c r="O29" i="1"/>
  <c r="O17" i="1"/>
  <c r="O5" i="1"/>
  <c r="AK8" i="11"/>
  <c r="B7" i="2" s="1"/>
  <c r="AK15" i="11"/>
  <c r="B14" i="2" s="1"/>
  <c r="AK22" i="11"/>
  <c r="B21" i="2" s="1"/>
  <c r="O28" i="1"/>
  <c r="O16" i="1"/>
  <c r="O4" i="1"/>
  <c r="O20" i="1"/>
  <c r="O19" i="1"/>
  <c r="AK29" i="11"/>
  <c r="B28" i="2" s="1"/>
  <c r="O27" i="1"/>
  <c r="O15" i="1"/>
  <c r="O32" i="1"/>
  <c r="O26" i="1"/>
  <c r="O14" i="1"/>
  <c r="O8" i="1"/>
  <c r="O37" i="1"/>
  <c r="O25" i="1"/>
  <c r="O13" i="1"/>
  <c r="AK10" i="11"/>
  <c r="B9" i="2" s="1"/>
  <c r="AK18" i="11"/>
  <c r="B17" i="2" s="1"/>
  <c r="AK24" i="11"/>
  <c r="B23" i="2" s="1"/>
  <c r="AG30" i="11"/>
  <c r="AH30" i="11" s="1"/>
  <c r="AJ30" i="11" s="1"/>
  <c r="AK30" i="11" s="1"/>
  <c r="B29" i="2" s="1"/>
  <c r="AK37" i="11"/>
  <c r="B36" i="2" s="1"/>
  <c r="O36" i="1"/>
  <c r="O24" i="1"/>
  <c r="O12" i="1"/>
  <c r="AK31" i="11"/>
  <c r="B30" i="2" s="1"/>
  <c r="O35" i="1"/>
  <c r="O23" i="1"/>
  <c r="O11" i="1"/>
  <c r="AK11" i="11"/>
  <c r="B10" i="2" s="1"/>
  <c r="AK19" i="11"/>
  <c r="B18" i="2" s="1"/>
  <c r="AK39" i="11"/>
  <c r="B38" i="2" s="1"/>
  <c r="O34" i="1"/>
  <c r="O22" i="1"/>
  <c r="O10" i="1"/>
  <c r="O3" i="1"/>
  <c r="AK26" i="11"/>
  <c r="B25" i="2" s="1"/>
  <c r="AK32" i="11"/>
  <c r="B31" i="2" s="1"/>
  <c r="O33" i="1"/>
  <c r="O21" i="1"/>
  <c r="O9" i="1"/>
  <c r="C25" i="8"/>
  <c r="C22" i="8"/>
  <c r="N28" i="14"/>
  <c r="D19" i="2" s="1"/>
  <c r="N33" i="14"/>
  <c r="D24" i="2" s="1"/>
  <c r="AJ5" i="12"/>
  <c r="C4" i="2" s="1"/>
  <c r="D36" i="1"/>
  <c r="D15" i="1"/>
  <c r="AJ6" i="12"/>
  <c r="C5" i="2" s="1"/>
  <c r="AJ8" i="12"/>
  <c r="C7" i="2" s="1"/>
  <c r="AJ9" i="12"/>
  <c r="C8" i="2" s="1"/>
  <c r="AJ10" i="12"/>
  <c r="C9" i="2" s="1"/>
  <c r="AJ11" i="12"/>
  <c r="C10" i="2" s="1"/>
  <c r="AJ12" i="12"/>
  <c r="C11" i="2" s="1"/>
  <c r="AJ14" i="12"/>
  <c r="C13" i="2" s="1"/>
  <c r="AJ15" i="12"/>
  <c r="C14" i="2" s="1"/>
  <c r="AJ16" i="12"/>
  <c r="C16" i="2" s="1"/>
  <c r="AJ18" i="12"/>
  <c r="C17" i="2" s="1"/>
  <c r="AJ19" i="12"/>
  <c r="C18" i="2" s="1"/>
  <c r="AJ21" i="12"/>
  <c r="C20" i="2" s="1"/>
  <c r="AJ23" i="12"/>
  <c r="C22" i="2" s="1"/>
  <c r="AJ24" i="12"/>
  <c r="C23" i="2" s="1"/>
  <c r="AJ26" i="12"/>
  <c r="C25" i="2" s="1"/>
  <c r="AJ27" i="12"/>
  <c r="C26" i="2" s="1"/>
  <c r="AJ28" i="12"/>
  <c r="C27" i="2" s="1"/>
  <c r="AJ29" i="12"/>
  <c r="C28" i="2" s="1"/>
  <c r="AJ32" i="12"/>
  <c r="C31" i="2" s="1"/>
  <c r="AJ34" i="12"/>
  <c r="C33" i="2" s="1"/>
  <c r="AJ37" i="12"/>
  <c r="C36" i="2" s="1"/>
  <c r="AJ39" i="12"/>
  <c r="C38" i="2" s="1"/>
  <c r="AK13" i="11"/>
  <c r="B12" i="2" s="1"/>
  <c r="N14" i="14"/>
  <c r="D5" i="2" s="1"/>
  <c r="N15" i="14"/>
  <c r="D6" i="2" s="1"/>
  <c r="N16" i="14"/>
  <c r="D7" i="2" s="1"/>
  <c r="N17" i="14"/>
  <c r="D8" i="2" s="1"/>
  <c r="N18" i="14"/>
  <c r="D9" i="2" s="1"/>
  <c r="N19" i="14"/>
  <c r="D10" i="2" s="1"/>
  <c r="N20" i="14"/>
  <c r="D11" i="2" s="1"/>
  <c r="N21" i="14"/>
  <c r="D12" i="2" s="1"/>
  <c r="N22" i="14"/>
  <c r="D13" i="2" s="1"/>
  <c r="N23" i="14"/>
  <c r="D14" i="2" s="1"/>
  <c r="N24" i="14"/>
  <c r="D16" i="2" s="1"/>
  <c r="N26" i="14"/>
  <c r="D17" i="2" s="1"/>
  <c r="N27" i="14"/>
  <c r="D18" i="2" s="1"/>
  <c r="N29" i="14"/>
  <c r="D20" i="2" s="1"/>
  <c r="N32" i="14"/>
  <c r="D23" i="2" s="1"/>
  <c r="N34" i="14"/>
  <c r="D25" i="2" s="1"/>
  <c r="N35" i="14"/>
  <c r="D26" i="2" s="1"/>
  <c r="N37" i="14"/>
  <c r="D28" i="2" s="1"/>
  <c r="N41" i="14"/>
  <c r="D32" i="2" s="1"/>
  <c r="N42" i="14"/>
  <c r="D33" i="2" s="1"/>
  <c r="N44" i="14"/>
  <c r="D35" i="2" s="1"/>
  <c r="N45" i="14"/>
  <c r="D36" i="2" s="1"/>
  <c r="N47" i="14"/>
  <c r="D38" i="2" s="1"/>
  <c r="N36" i="14"/>
  <c r="D27" i="2" s="1"/>
  <c r="N40" i="14"/>
  <c r="D31" i="2" s="1"/>
  <c r="N13" i="14"/>
  <c r="D4" i="2" s="1"/>
  <c r="N30" i="14"/>
  <c r="D21" i="2" s="1"/>
  <c r="N38" i="14"/>
  <c r="D29" i="2" s="1"/>
  <c r="N31" i="14"/>
  <c r="D22" i="2" s="1"/>
  <c r="E5" i="2"/>
  <c r="E7" i="2"/>
  <c r="E8" i="2"/>
  <c r="E9" i="2"/>
  <c r="E10" i="2"/>
  <c r="E11" i="2"/>
  <c r="E12" i="2"/>
  <c r="E13" i="2"/>
  <c r="E14" i="2"/>
  <c r="E16" i="2"/>
  <c r="E17" i="2"/>
  <c r="E18" i="2"/>
  <c r="E20" i="2"/>
  <c r="E21" i="2"/>
  <c r="E22" i="2"/>
  <c r="E23" i="2"/>
  <c r="E24" i="2"/>
  <c r="E25" i="2"/>
  <c r="E26" i="2"/>
  <c r="E27" i="2"/>
  <c r="E28" i="2"/>
  <c r="E29" i="2"/>
  <c r="E31" i="2"/>
  <c r="E32" i="2"/>
  <c r="E33" i="2"/>
  <c r="E34" i="2"/>
  <c r="E35" i="2"/>
  <c r="E36" i="2"/>
  <c r="E38" i="2"/>
  <c r="D27" i="1"/>
  <c r="D19" i="1"/>
  <c r="D30" i="1"/>
  <c r="D28" i="1"/>
  <c r="D13" i="1"/>
  <c r="D10" i="1"/>
  <c r="D37" i="1"/>
  <c r="D34" i="1"/>
  <c r="D17" i="1"/>
  <c r="D8" i="1"/>
  <c r="D7" i="1"/>
  <c r="D4" i="1"/>
  <c r="D35" i="1"/>
  <c r="D5" i="1"/>
  <c r="D33" i="1"/>
  <c r="D32" i="1"/>
  <c r="D23" i="1"/>
  <c r="D29" i="1"/>
  <c r="D22" i="1"/>
  <c r="D16" i="1"/>
  <c r="D9" i="1"/>
  <c r="D21" i="1"/>
  <c r="D12" i="1"/>
  <c r="D25" i="1"/>
  <c r="D3" i="1"/>
  <c r="D18" i="1"/>
  <c r="D20" i="1"/>
  <c r="D6" i="1"/>
  <c r="D31" i="1"/>
  <c r="D24" i="1"/>
  <c r="D26" i="1"/>
  <c r="D14" i="1"/>
  <c r="D11" i="1"/>
  <c r="J19" i="2" l="1"/>
  <c r="J29" i="2"/>
  <c r="J5" i="2"/>
  <c r="J34" i="2"/>
  <c r="J30" i="2"/>
  <c r="H36" i="1"/>
  <c r="P36" i="1" s="1"/>
  <c r="F37" i="2" s="1"/>
  <c r="H24" i="1"/>
  <c r="H15" i="1"/>
  <c r="P15" i="1" s="1"/>
  <c r="F15" i="2" s="1"/>
  <c r="J6" i="2"/>
  <c r="J21" i="2"/>
  <c r="J38" i="2"/>
  <c r="J35" i="2"/>
  <c r="J13" i="2"/>
  <c r="J24" i="2"/>
  <c r="J36" i="2"/>
  <c r="J9" i="2"/>
  <c r="J31" i="2"/>
  <c r="J26" i="2"/>
  <c r="J23" i="2"/>
  <c r="J7" i="2"/>
  <c r="J32" i="2"/>
  <c r="J16" i="2"/>
  <c r="J10" i="2"/>
  <c r="J33" i="2"/>
  <c r="J17" i="2"/>
  <c r="J28" i="2"/>
  <c r="J14" i="2"/>
  <c r="J18" i="2"/>
  <c r="J27" i="2"/>
  <c r="J12" i="2"/>
  <c r="J20" i="2"/>
  <c r="J11" i="2"/>
  <c r="J22" i="2"/>
  <c r="J8" i="2"/>
  <c r="J25" i="2"/>
  <c r="H11" i="1"/>
  <c r="P11" i="1" s="1"/>
  <c r="F12" i="2" s="1"/>
  <c r="H14" i="1"/>
  <c r="P14" i="1" s="1"/>
  <c r="F16" i="2" s="1"/>
  <c r="H26" i="1"/>
  <c r="P26" i="1" s="1"/>
  <c r="F27" i="2" s="1"/>
  <c r="H31" i="1"/>
  <c r="P31" i="1" s="1"/>
  <c r="F32" i="2" s="1"/>
  <c r="H6" i="1"/>
  <c r="P6" i="1" s="1"/>
  <c r="F7" i="2" s="1"/>
  <c r="H20" i="1"/>
  <c r="P20" i="1" s="1"/>
  <c r="F21" i="2" s="1"/>
  <c r="H18" i="1"/>
  <c r="P18" i="1" s="1"/>
  <c r="F19" i="2" s="1"/>
  <c r="H25" i="1"/>
  <c r="P25" i="1" s="1"/>
  <c r="F26" i="2" s="1"/>
  <c r="H12" i="1"/>
  <c r="P12" i="1" s="1"/>
  <c r="F13" i="2" s="1"/>
  <c r="H21" i="1"/>
  <c r="P21" i="1" s="1"/>
  <c r="F22" i="2" s="1"/>
  <c r="H9" i="1"/>
  <c r="P9" i="1" s="1"/>
  <c r="F10" i="2" s="1"/>
  <c r="H16" i="1"/>
  <c r="P16" i="1" s="1"/>
  <c r="F17" i="2" s="1"/>
  <c r="H22" i="1"/>
  <c r="P22" i="1" s="1"/>
  <c r="F23" i="2" s="1"/>
  <c r="H29" i="1"/>
  <c r="P29" i="1" s="1"/>
  <c r="F30" i="2" s="1"/>
  <c r="H23" i="1"/>
  <c r="P23" i="1" s="1"/>
  <c r="F24" i="2" s="1"/>
  <c r="H32" i="1"/>
  <c r="P32" i="1" s="1"/>
  <c r="F33" i="2" s="1"/>
  <c r="H33" i="1"/>
  <c r="P33" i="1" s="1"/>
  <c r="F34" i="2" s="1"/>
  <c r="H5" i="1"/>
  <c r="P5" i="1" s="1"/>
  <c r="F6" i="2" s="1"/>
  <c r="H35" i="1"/>
  <c r="P35" i="1" s="1"/>
  <c r="F36" i="2" s="1"/>
  <c r="H4" i="1"/>
  <c r="P4" i="1" s="1"/>
  <c r="F5" i="2" s="1"/>
  <c r="H7" i="1"/>
  <c r="P7" i="1" s="1"/>
  <c r="F8" i="2" s="1"/>
  <c r="H8" i="1"/>
  <c r="P8" i="1" s="1"/>
  <c r="F9" i="2" s="1"/>
  <c r="H17" i="1"/>
  <c r="P17" i="1" s="1"/>
  <c r="F18" i="2" s="1"/>
  <c r="H34" i="1"/>
  <c r="P34" i="1" s="1"/>
  <c r="F35" i="2" s="1"/>
  <c r="H37" i="1"/>
  <c r="P37" i="1" s="1"/>
  <c r="F38" i="2" s="1"/>
  <c r="H10" i="1"/>
  <c r="P10" i="1" s="1"/>
  <c r="F11" i="2" s="1"/>
  <c r="H13" i="1"/>
  <c r="P13" i="1" s="1"/>
  <c r="F14" i="2" s="1"/>
  <c r="H28" i="1"/>
  <c r="P28" i="1" s="1"/>
  <c r="F29" i="2" s="1"/>
  <c r="H30" i="1"/>
  <c r="P30" i="1" s="1"/>
  <c r="F31" i="2" s="1"/>
  <c r="H19" i="1"/>
  <c r="P19" i="1" s="1"/>
  <c r="F20" i="2" s="1"/>
  <c r="H27" i="1"/>
  <c r="P27" i="1" s="1"/>
  <c r="F28" i="2" s="1"/>
  <c r="D38" i="1"/>
  <c r="H3" i="1"/>
  <c r="P3" i="1" s="1"/>
  <c r="F4" i="2" s="1"/>
  <c r="J38" i="1"/>
  <c r="P24" i="1" l="1"/>
  <c r="F25" i="2" s="1"/>
  <c r="K34" i="2"/>
  <c r="K24" i="2"/>
  <c r="K12" i="2"/>
  <c r="K38" i="2"/>
  <c r="K23" i="2"/>
  <c r="K35" i="2"/>
  <c r="K18" i="2"/>
  <c r="K10" i="2"/>
  <c r="K9" i="2"/>
  <c r="K37" i="2"/>
  <c r="K15" i="2"/>
  <c r="K36" i="2"/>
  <c r="K4" i="2"/>
  <c r="K8" i="2"/>
  <c r="K7" i="2"/>
  <c r="K27" i="2"/>
  <c r="K17" i="2"/>
  <c r="K25" i="2" l="1"/>
  <c r="K20" i="2"/>
  <c r="K33" i="2"/>
  <c r="K19" i="2"/>
  <c r="K29" i="2"/>
  <c r="K28" i="2"/>
  <c r="K26" i="2"/>
  <c r="K5" i="2"/>
  <c r="K14" i="2"/>
  <c r="K13" i="2"/>
  <c r="K22" i="2"/>
  <c r="K31" i="2"/>
  <c r="K30" i="2"/>
  <c r="K16" i="2"/>
  <c r="K21" i="2"/>
  <c r="K11" i="2"/>
  <c r="K6" i="2"/>
  <c r="K32" i="2"/>
  <c r="K42" i="2" l="1"/>
  <c r="K41" i="2"/>
  <c r="D80" i="10"/>
  <c r="C80" i="10"/>
  <c r="K44" i="2" l="1"/>
  <c r="K43" i="2"/>
  <c r="E80" i="10"/>
  <c r="E4" i="2" s="1"/>
  <c r="J4" i="2" s="1"/>
  <c r="J42" i="2" l="1"/>
  <c r="J41" i="2"/>
  <c r="J44" i="2" l="1"/>
  <c r="J43" i="2"/>
  <c r="L6" i="2"/>
  <c r="L4" i="2" l="1"/>
  <c r="L37" i="2"/>
  <c r="L19" i="2"/>
  <c r="L15" i="2"/>
  <c r="L34" i="2"/>
  <c r="L30" i="2"/>
  <c r="L38" i="2"/>
  <c r="L20" i="2"/>
  <c r="L24" i="2"/>
  <c r="L8" i="2"/>
  <c r="L14" i="2"/>
  <c r="L25" i="2"/>
  <c r="L29" i="2"/>
  <c r="L11" i="2"/>
  <c r="L31" i="2"/>
  <c r="L10" i="2"/>
  <c r="L7" i="2"/>
  <c r="L32" i="2"/>
  <c r="L13" i="2"/>
  <c r="L21" i="2"/>
  <c r="L12" i="2"/>
  <c r="L5" i="2"/>
  <c r="L28" i="2"/>
  <c r="L17" i="2"/>
  <c r="L36" i="2"/>
  <c r="L16" i="2"/>
  <c r="L9" i="2"/>
  <c r="L23" i="2"/>
  <c r="L35" i="2"/>
  <c r="L33" i="2"/>
  <c r="L22" i="2"/>
  <c r="L26" i="2"/>
  <c r="L18" i="2"/>
  <c r="L2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Fabio Andres Aleman Machado</author>
  </authors>
  <commentList>
    <comment ref="G15" authorId="0" shapeId="0" xr:uid="{F703744A-7E92-49A1-AC39-7B693CDEA577}">
      <text>
        <r>
          <rPr>
            <sz val="11"/>
            <color theme="1"/>
            <rFont val="Aptos Narrow"/>
            <family val="2"/>
            <scheme val="minor"/>
          </rPr>
          <t>Ajuste manual: valor original DIAN $1.285.240,25 (promedio 2021-2025) puesto en 0. Justificación: la única explotación significativa (Complejo El Vinagre, Puracé), explotación histórica, cerró en 2017-18.</t>
        </r>
      </text>
    </comment>
    <comment ref="M22" authorId="0" shapeId="0" xr:uid="{17F412E0-21A4-4DC1-A755-F04DD2176BBB}">
      <text>
        <t>El mineral no se asocia a ninguna de las cuatro apuestas vigentes del CONPES 4129 de Reindustrialización, por lo que V1 = 0. Conforme a la regla, cuando V1 = 0 la calificación de V2 es igualmente 0 y la del criterio es 0.</t>
      </text>
    </comment>
    <comment ref="L25" authorId="0" shapeId="0" xr:uid="{30B1014B-C270-43BC-A3F7-C52B38193842}">
      <text>
        <r>
          <rPr>
            <sz val="11"/>
            <color theme="1"/>
            <rFont val="Aptos Narrow"/>
            <family val="2"/>
            <scheme val="minor"/>
          </rPr>
          <t>Los tres flujos de comercio exterior (Exp_bruto, Exp_derivados e Imp_derivados) son iguales a cero, por lo que la BCRA no es calculable y la celda queda vacía.</t>
        </r>
      </text>
    </comment>
    <comment ref="M25" authorId="0" shapeId="0" xr:uid="{0147B43E-F5F2-4B25-AADC-F951AF11BF97}">
      <text>
        <r>
          <rPr>
            <sz val="11"/>
            <color theme="1"/>
            <rFont val="Aptos Narrow"/>
            <family val="2"/>
            <scheme val="minor"/>
          </rPr>
          <t xml:space="preserve">BCRA no calculable: los tres flujos de comercio exterior son cero. Conforme a la regla, la calificación es 0.
</t>
        </r>
      </text>
    </comment>
    <comment ref="L30" authorId="0" shapeId="0" xr:uid="{9A6D1E44-B182-4A8F-9369-BEFA02C08DAC}">
      <text>
        <r>
          <rPr>
            <sz val="11"/>
            <color theme="1"/>
            <rFont val="Aptos Narrow"/>
            <family val="2"/>
            <scheme val="minor"/>
          </rPr>
          <t xml:space="preserve">Manganeso no registra exportaciones de mineral en bruto reportadas por la DIAN, pero sí cuenta con producción nacional declarada (74.272 t/año, promedio 2021-2025, ANM) y precio internacional de referencia (198 USD/t, USGS, promedio de diciembre de 2025). Conforme a la regla, el componente Exp_bruto se sustituye por Producción × Precio.
</t>
        </r>
      </text>
    </comment>
    <comment ref="M31" authorId="0" shapeId="0" xr:uid="{1F911DC3-CC19-4159-A2C9-42EA5E3E6E7A}">
      <text>
        <r>
          <rPr>
            <sz val="11"/>
            <color theme="1"/>
            <rFont val="Aptos Narrow"/>
            <family val="2"/>
            <scheme val="minor"/>
          </rPr>
          <t xml:space="preserve">El mineral no se asocia a ninguna de las cuatro apuestas vigentes del CONPES 4129 de Reindustrialización, por lo que V1 = 0. Conforme a la regla, cuando V1 = 0 la calificación de V2 es igualmente 0 y la del criterio es 0.
</t>
        </r>
      </text>
    </comment>
    <comment ref="L38" authorId="0" shapeId="0" xr:uid="{71DD9D5C-8B15-428F-A4BF-2D671B9827F0}">
      <text>
        <r>
          <rPr>
            <sz val="11"/>
            <color theme="1"/>
            <rFont val="Aptos Narrow"/>
            <family val="2"/>
            <scheme val="minor"/>
          </rPr>
          <t xml:space="preserve">Plomo no registra exportaciones de mineral en bruto reportadas por la DIAN, pero sí cuenta con producción nacional declarada, obtenida como subproducto polimetálico (3.333 t/año, promedio 2021-2025, ANM), y precio internacional de referencia (1.954 USD/t, London Metal Exchange, promedio de diciembre de 2025). Conforme a la regla, el componente Exp_bruto se sustituye por Producción × Precio.
</t>
        </r>
      </text>
    </comment>
    <comment ref="G39" authorId="0" shapeId="0" xr:uid="{ECF740B7-C0E6-44E8-BD9E-245EBDEB9014}">
      <text>
        <r>
          <rPr>
            <sz val="11"/>
            <color theme="1"/>
            <rFont val="Aptos Narrow"/>
            <family val="2"/>
            <scheme val="minor"/>
          </rPr>
          <t>Ajuste manual 2026-06-22: valor original DIAN $3.233.080,94 (promedio 2021-2025) puesto en 0. Justificación:Colombia no produce potasio (no hay registro en base Información Regalías y Volumen Mineral ni en Recaudos por mineral 2023-2026 de la ANM)</t>
        </r>
      </text>
    </comment>
    <comment ref="L46" authorId="0" shapeId="0" xr:uid="{CA2A5D42-F9C4-4447-A052-E70ED4BD2159}">
      <text>
        <r>
          <rPr>
            <sz val="11"/>
            <color theme="1"/>
            <rFont val="Aptos Narrow"/>
            <family val="2"/>
            <scheme val="minor"/>
          </rPr>
          <t>Los tres flujos de comercio exterior (Exp_bruto, Exp_derivados e Imp_derivados) son iguales a cero, por lo que la BCRA no es calculable y la celda queda vacía.</t>
        </r>
      </text>
    </comment>
    <comment ref="M46" authorId="0" shapeId="0" xr:uid="{285C82AC-12FF-4643-932B-FC40F54A6029}">
      <text>
        <r>
          <rPr>
            <sz val="11"/>
            <color theme="1"/>
            <rFont val="Aptos Narrow"/>
            <family val="2"/>
            <scheme val="minor"/>
          </rPr>
          <t xml:space="preserve">BCRA no calculable: los tres flujos de comercio exterior son cero. Conforme a la regla, la calificación es 0.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<sst xmlns="http://schemas.openxmlformats.org/spreadsheetml/2006/main" count="1554" uniqueCount="625">
  <si>
    <t xml:space="preserve">Evaluación Criterio 1. Seguridad de las cadenas de suministro </t>
  </si>
  <si>
    <t>Listado Base  (Incorporando observaciones SGC)</t>
  </si>
  <si>
    <t>Unidad de medida</t>
  </si>
  <si>
    <t>Producción (explotación)</t>
  </si>
  <si>
    <t>Exportaciones</t>
  </si>
  <si>
    <t>Importaciones</t>
  </si>
  <si>
    <t>Consumo Aparente</t>
  </si>
  <si>
    <t>Dependencia de importaciones</t>
  </si>
  <si>
    <t>CAnorm</t>
  </si>
  <si>
    <t>Dinorm</t>
  </si>
  <si>
    <t>Calificación</t>
  </si>
  <si>
    <t>No.</t>
  </si>
  <si>
    <t>Minerales, elementos y materias primas</t>
  </si>
  <si>
    <t>Promedio</t>
  </si>
  <si>
    <t>Promedio ajustado</t>
  </si>
  <si>
    <t>Precio promedio 2025</t>
  </si>
  <si>
    <t>C.A USD</t>
  </si>
  <si>
    <t>Prom. Ajustado</t>
  </si>
  <si>
    <t>Aluminio</t>
  </si>
  <si>
    <t>Tonelada</t>
  </si>
  <si>
    <t>Arenas silíceas</t>
  </si>
  <si>
    <t>Azufre</t>
  </si>
  <si>
    <t xml:space="preserve">                          -  </t>
  </si>
  <si>
    <t>Baritina</t>
  </si>
  <si>
    <t>Calizas y mármoles</t>
  </si>
  <si>
    <t>Carbón</t>
  </si>
  <si>
    <t>Cobre</t>
  </si>
  <si>
    <t>Cromo</t>
  </si>
  <si>
    <t>Elementos de Tierras Raras (ETR)</t>
  </si>
  <si>
    <t>Esmeralda</t>
  </si>
  <si>
    <t>Estaño</t>
  </si>
  <si>
    <t>Feldespato</t>
  </si>
  <si>
    <t>Fluorita</t>
  </si>
  <si>
    <t>Grafito</t>
  </si>
  <si>
    <t>Hierro</t>
  </si>
  <si>
    <t>Litio</t>
  </si>
  <si>
    <t>Magnesio</t>
  </si>
  <si>
    <t>Manganeso</t>
  </si>
  <si>
    <t>Materiales de Construcción</t>
  </si>
  <si>
    <t>Metales del Grupo del Platino (MGP)</t>
  </si>
  <si>
    <t>Molibdeno</t>
  </si>
  <si>
    <t>Niobio-Tantalio</t>
  </si>
  <si>
    <t>Níquel</t>
  </si>
  <si>
    <t>Oro</t>
  </si>
  <si>
    <t>Plata</t>
  </si>
  <si>
    <t>Plomo</t>
  </si>
  <si>
    <t>Potasio</t>
  </si>
  <si>
    <t>Roca fosfórica</t>
  </si>
  <si>
    <t>Sodio</t>
  </si>
  <si>
    <t>Titanio</t>
  </si>
  <si>
    <t>Uranio</t>
  </si>
  <si>
    <t>Wolframio (Tungsteno)</t>
  </si>
  <si>
    <t>Yeso</t>
  </si>
  <si>
    <t>Zeolita</t>
  </si>
  <si>
    <t>Zinc</t>
  </si>
  <si>
    <t>Quintiles para Consumo aparente</t>
  </si>
  <si>
    <t>Quintiles para Dependencia importaciones</t>
  </si>
  <si>
    <t>Corte</t>
  </si>
  <si>
    <t>Valor</t>
  </si>
  <si>
    <t>P20</t>
  </si>
  <si>
    <t>P40</t>
  </si>
  <si>
    <t>P60</t>
  </si>
  <si>
    <t>P80</t>
  </si>
  <si>
    <t>Quintil</t>
  </si>
  <si>
    <t>Rango</t>
  </si>
  <si>
    <t>Q1</t>
  </si>
  <si>
    <t>≤ 692.331</t>
  </si>
  <si>
    <t>≤ 0,0203</t>
  </si>
  <si>
    <t>Q2</t>
  </si>
  <si>
    <t>&gt; 692.331 CA ≤ 13.957.314</t>
  </si>
  <si>
    <t>&gt; 0,0203 DI ≤ 0,2687</t>
  </si>
  <si>
    <t>Q3</t>
  </si>
  <si>
    <t>&gt; 13.957.314 CA ≤ 50.495.955</t>
  </si>
  <si>
    <t>&gt; 0,2687 DI ≤ 0,6514</t>
  </si>
  <si>
    <t>Q4</t>
  </si>
  <si>
    <t>&gt; 50.495.955 CA ≤ 149.306.067</t>
  </si>
  <si>
    <t>&gt; 0,6514 DI ≤ 0,9763</t>
  </si>
  <si>
    <t>Q5</t>
  </si>
  <si>
    <t>&gt; 149.306.067</t>
  </si>
  <si>
    <t>&gt; 0,9763</t>
  </si>
  <si>
    <t> </t>
  </si>
  <si>
    <t xml:space="preserve">Evaluación Criterio 2. Importancia económica y comercial del mineral </t>
  </si>
  <si>
    <t>Regalías</t>
  </si>
  <si>
    <t>Regalías % de participación</t>
  </si>
  <si>
    <t>Participación en exportaciones mineras</t>
  </si>
  <si>
    <t>Diversificación exportaciones</t>
  </si>
  <si>
    <t xml:space="preserve"> % Reg.norm </t>
  </si>
  <si>
    <t xml:space="preserve"> % Expo.norm </t>
  </si>
  <si>
    <t xml:space="preserve">Diversificación exportaciones.norm </t>
  </si>
  <si>
    <t>Interpretación</t>
  </si>
  <si>
    <t>COP</t>
  </si>
  <si>
    <t>Alta concentración</t>
  </si>
  <si>
    <t>Baja concentración</t>
  </si>
  <si>
    <t xml:space="preserve">                  -  </t>
  </si>
  <si>
    <t xml:space="preserve">                    -  </t>
  </si>
  <si>
    <t>Sin dato</t>
  </si>
  <si>
    <t xml:space="preserve">               -  </t>
  </si>
  <si>
    <t xml:space="preserve"> - </t>
  </si>
  <si>
    <t>Concentración moderada</t>
  </si>
  <si>
    <t>Total regalías mineras</t>
  </si>
  <si>
    <t>Total exportaciones mineras</t>
  </si>
  <si>
    <t>Quintiles para Regalías</t>
  </si>
  <si>
    <t>Quintiles para Exportaciones</t>
  </si>
  <si>
    <t>Quintiles para concentración exportaciones</t>
  </si>
  <si>
    <t>≤ P20</t>
  </si>
  <si>
    <t>&gt; P20 y ≤ P40</t>
  </si>
  <si>
    <t>&gt; P40 y ≤ P60</t>
  </si>
  <si>
    <t>&gt; P60 y ≤ P80</t>
  </si>
  <si>
    <t>&gt; P80</t>
  </si>
  <si>
    <t xml:space="preserve">Evaluación Criterio 3. Función productiva, industrial y de infraestructura en el país </t>
  </si>
  <si>
    <t>Escala V1 (Función industrial - corte 2023 a la fecha)</t>
  </si>
  <si>
    <t xml:space="preserve"> Nivel 1 = 0: el mineral no está asociado a ninguna apuesta productiva del CONPES 4129 (P1 = NO).   ·   Nivel 2 = 40: asociado al CONPES, pero no existe en Colombia industria que consuma el mineral o sus derivados (P2 = NO).   ·   Nivel 3 = 60: asociado al CONPES y existe industria nacional que consume el mineral o sus derivados, abastecida con mineral importado (P2 = SÍ; P3 = importado).   ·   Nivel 4 = 80: existe industria nacional abastecida con mineral de origen nacional que alcanza únicamente beneficio o transformación primaria (P3 = nacional, etapa primaria).   ·   Nivel 5 = 100: existe industria nacional abastecida con mineral de origen nacional con transformación intermedia o final (P3 = nacional, etapa intermedia o final).</t>
  </si>
  <si>
    <t>Escala V2 (Balanza Comercial Relativa Ajustada)</t>
  </si>
  <si>
    <t>BCRA = (Imp_derivados − Exp_bruto − Exp_derivados) / (Imp_derivados + Exp_bruto + Exp_derivados).</t>
  </si>
  <si>
    <t>REGLA GENERAL. La BCRA se calcula para todo mineral con flujo comercial registrado, exista o no producción nacional, y se califica según su posición frente a los cuartiles: 0 si BCRA ≤ T1 · 40 si T1 &lt; BCRA ≤ T2 · 80 si T2 &lt; BCRA ≤ T3 · 100 si BCRA &gt; T3. CASOS EXCEPCIONALES Caso 1. Sin flujos comerciales (fluorita, zeolita). Caso 2. Sin exportaciones reportadas pero con producción nacional (manganeso, plomo). Caso 3. Exportaciones no atribuibles a producción nacional (azufre, potasio). Caso 4. Sin asociación CONPES (esmeralda, materiales de construcción). El desarrollo de cada caso excepciona se desarrolla en el numeral 4.3 del documento de Determinación de minerales estratégicos para Colombia.</t>
  </si>
  <si>
    <t>Cuartiles de BCRA (V2)</t>
  </si>
  <si>
    <t>Cuartil</t>
  </si>
  <si>
    <t>Regla de calificación V2</t>
  </si>
  <si>
    <t>T1 - 1er cuartil (Q1)</t>
  </si>
  <si>
    <t>BCRA ≤ T1 → V2 = 0</t>
  </si>
  <si>
    <t>T2 - mediana (Q2)</t>
  </si>
  <si>
    <t>T1 &lt; BCRA ≤ T2 → V2 = 40</t>
  </si>
  <si>
    <t>T3 - 3er cuartil (Q3)</t>
  </si>
  <si>
    <t>T2 &lt; BCRA ≤ T3 → V2 = 80 ; BCRA &gt; T3 → V2 = 100</t>
  </si>
  <si>
    <t>Mineral</t>
  </si>
  <si>
    <t>P1. ¿El mineral está asociado a alguna apuesta productiva del CONPES 4129?   (NO → V1 = 0)</t>
  </si>
  <si>
    <t>P2. ¿Existe en Colombia industria que consuma el mineral o sus derivados, con independencia del origen del mineral?   (NO → V1 = 40)</t>
  </si>
  <si>
    <t>P3. Origen del abastecimiento de esa industria y etapa alcanzada.   (Importado → V1 = 60 · Nacional, beneficio o transformación primaria → V1 = 80 · Nacional, transformación intermedia o final → V1 = 100)</t>
  </si>
  <si>
    <t>Calificación V1</t>
  </si>
  <si>
    <t>Export bruto USD
prom. 2021-2025 (DIAN)</t>
  </si>
  <si>
    <t>Export derivados USD
prom. 2021-2025
(DIAN)</t>
  </si>
  <si>
    <t>Import derivados USD
prom. 2021-2025 (DIAN)</t>
  </si>
  <si>
    <t>Producción nacional
ton/año (ANM)</t>
  </si>
  <si>
    <t>Precio internacional
USD/ton</t>
  </si>
  <si>
    <t>BCRA
Balanza Comercial Relativa Ajustada
= (Imp_d − Exp_b − Exp_d) / (Imp_d + Exp_b + Exp_d)
con sustitución: si Exp_b=0, se reemplaza por Producción·Precio</t>
  </si>
  <si>
    <t>Calificación V2</t>
  </si>
  <si>
    <t>Calificación del criterio</t>
  </si>
  <si>
    <t>Asociado a Apuesta 1, Apuesta 4 del CONPES 4129 vía las industrias: siderurgia ligera, aerogeneradores, redes y electromovilidad, astilleros, aeronáutica.</t>
  </si>
  <si>
    <t>Producción nacional confirmada en la base de producción asociada a pago de regalías de la ANM, con promedio 2021-2025: 37.838 toneladas de bauxita. Se corrobora en los recaudos por mineral de la ANM con actividad vigente en las vigencias 2021 y 2025.</t>
  </si>
  <si>
    <t>Primaria. Colombia produce bauxita pero no tiene fundición primaria de aluminio con mineral nacional. La cadena nacional alcanza solo la etapa primaria (mineral concentrado).</t>
  </si>
  <si>
    <t>Asociado a Apuesta 1 del CONPES 4129 vía las industrias: paneles solares y semiconductores.</t>
  </si>
  <si>
    <t>Producción nacional confirmada en la base de producción asociada a pago de regalías de la ANM, con promedio 2021-2025: 539.803 metros cúbicos. Se corrobora en los recaudos por mineral de la ANM con actividad vigente, amplia y continua en las vigencias 2021, 2022, 2023, 2024 y 2025.</t>
  </si>
  <si>
    <t>Final. Las arenas silíceas alimentan la industria nacional del vidrio (plano y envases) como producto final de construcción y consumo, además de fundiciones y filtros industriales.</t>
  </si>
  <si>
    <t>Asociado a Apuesta 2, Apuesta 4 del CONPES 4129 vía las industrias: fertilizantes y agroquímicos, propelentes.</t>
  </si>
  <si>
    <t>Sí. Existe industria nacional que consume azufre: la producción de ácido sulfúrico de Química Básica Colombiana S.A. (planta de Caloto, Cauca, en operación desde 1982, con capacidad instalada ampliada a 90 toneladas métricas por día) y de Industrias Básicas de Caldas. El abastecimiento combina azufre nacional de la mina El Vinagre (Puracé, Cauca, operada por la Empresa Minera Indígena del Cauca S.A. — EMICAUCA) con azufre importado y con azufre recuperado en la refinería de Cartagena. No obstante, la base de producción asociada a pago de regalías de la ANM registra únicamente actividad residual, y el complejo minero El Vinagre está sujeto desde 2024 a un programa de sustitución en el páramo de Puracé, por lo que el abastecimiento de la industria nacional no puede acreditarse como de origen minero nacional vigente.</t>
  </si>
  <si>
    <t>Importado. La industria nacional de ácido sulfúrico opera de manera predominante con azufre importado o recuperado de la refinación de hidrocarburos, y no con mineral colombiano de producción vigente acreditada ante la ANM. V1 = 60.</t>
  </si>
  <si>
    <t>Asociado a Apuesta 3 del CONPES 4129 vía las industrias: industria farmacéutica (sulfato de bario medicinal).</t>
  </si>
  <si>
    <t>Producción nacional confirmada en la base de producción asociada a pago de regalías de la ANM, con promedio 2021-2025: 29.593 toneladas. Se corrobora en los recaudos por mineral de la ANM con actividad vigente y continua en las vigencias 2021, 2022, 2023 y 2025.</t>
  </si>
  <si>
    <t>Primaria. La barita producida nacionalmente se comercializa como producto primario (lodos de perforación, cargas minerales). Sin transformación nacional a compuestos químicos de bario industriales.</t>
  </si>
  <si>
    <t>Asociado a Apuesta 1, Apuesta 2, Apuesta 3 del CONPES 4129 vía las industrias: cementos y minerales no metálicos, fertilizantes, farmacéutica, alimentos.</t>
  </si>
  <si>
    <t>Producción nacional confirmada en la base de producción asociada a pago de regalías de la ANM, con promedio 2021-2025: 20.613.541 toneladas. Se corrobora en los recaudos por mineral de la ANM con actividad vigente, amplia y continua en las vigencias 2021, 2022, 2023, 2024 y 2025.</t>
  </si>
  <si>
    <t>Final. La caliza nacional sostiene la cadena completa de cementos y la industria de cales y carbonatos para fertilizantes, vidrio y química básica.</t>
  </si>
  <si>
    <t>Asociado a Apuesta 1 del CONPES 4129 vía las industrias: siderurgia (coque metalúrgico).</t>
  </si>
  <si>
    <t>Producción nacional confirmada en la base de producción asociada a pago de regalías de la ANM, con promedio 2021-2025: 62.543.765 toneladas. Se corrobora en los recaudos por mineral de la ANM con actividad vigente, amplia y continua en las vigencias 2021, 2022, 2023, 2024 y 2025.</t>
  </si>
  <si>
    <t>Final. El carbón térmico se exporta principalmente como bruto. El carbón metalúrgico nacional alimenta la cadena del coque (producto final del sector carbonífero, insumo de la siderurgia); el carbón térmico llega a generación de energía como uso final.</t>
  </si>
  <si>
    <t>Asociado a Apuesta 1, Apuesta 4 del CONPES 4129 vía las industrias: redes de transmisión, electromovilidad, paneles solares, astilleros, municiones.</t>
  </si>
  <si>
    <t>Producción nacional confirmada en la base de producción asociada a pago de regalías de la ANM, con promedio 2021-2025: 3.794.298 kilogramos. Se corrobora en los recaudos por mineral de la ANM con actividad vigente y amplia en las vigencias 2021, 2022, 2023, 2024 y 2025.</t>
  </si>
  <si>
    <t>Primaria. La producción nacional de cobre se exporta como concentrado de cobre y oro (proyecto El Roble, Carmen de Atrato, Chocó, operado por Atico Mining- Principal mina de cobre en producción en el país). Sin fundición, refinería ni manufactura nacional a cátodos, cables, perfiles o alambres industriales con mineral colombiano.</t>
  </si>
  <si>
    <t>Asociado a Apuesta 1, Apuesta 3, Apuesta 4 del CONPES 4129 vía las industrias: siderurgia (aceros inoxidables), implantes médicos, blindajes.</t>
  </si>
  <si>
    <t>Producción nacional confirmada en los recaudos por mineral de la ANM con actividad en las vigencias 2023, 2024 y 2025; la base de Información Regalías y Volumen Mineral no registra volumen declarado en ese periodo (último registro 2022).</t>
  </si>
  <si>
    <t>Primaria. La cromita se comercializa como mineral concentrado; sin transformación nacional a ferrocromo ni a aceros inoxidables con mineral colombiano.</t>
  </si>
  <si>
    <t>Asociado a Apuesta 1, Apuesta 4 del CONPES 4129 vía las industrias: imanes para aerogeneradores y motores eléctricos, electrónica de defensa.</t>
  </si>
  <si>
    <t>Producción nacional confirmada por verificación sectorial ANM (explotaciones vigentes en arenas negras del Vichada/Guainía en coproducción con niobio, tantalio, estaño, circonio, titanio y vanadio). Se corrobora en los recaudos por mineral de la ANM con actividad continua en las vigencias 2021, 2022, 2023, 2024 y 2025 sobre los minerales acompañantes.</t>
  </si>
  <si>
    <t>Primaria. Producción en arenas negras como concentrado polimetálico; sin separación química nacional ni transformación a óxidos individuales de ETR ni a imanes permanentes con mineral colombiano.</t>
  </si>
  <si>
    <t>La esmeralda no se asocia a ninguna de las cuatro apuestas vigentes del CONPES 4129. Su cadena es ornamental/joyería, fuera del alcance industrial.</t>
  </si>
  <si>
    <t>No aplica (mineral sin asociación CONPES en P1).</t>
  </si>
  <si>
    <t>No aplica.</t>
  </si>
  <si>
    <t>Asociado a Apuesta 4 del CONPES 4129 vía las industrias: soldaduras, municiones.</t>
  </si>
  <si>
    <t>Producción nacional confirmada en la base de producción asociada a pago de regalías de la ANM, con promedio 2021-2025: 55.288 kilogramos (concentrada en 2024). Se corrobora en los recaudos por mineral de la ANM con actividad en las vigencias 2021, 2022, 2023, 2024 y 2025.</t>
  </si>
  <si>
    <t>Primaria. La producción de estaño se exporta como concentrado mineral. Sin fundición ni transformación nacional a soldaduras, aleaciones u otros derivados industriales con mineral colombiano.</t>
  </si>
  <si>
    <t>Asociado a Apuesta 1 del CONPES 4129 vía las industrias: minerales no metálicos (cerámica, vidrio) — uso marginal.</t>
  </si>
  <si>
    <t>Producción nacional confirmada en la base de producción asociada a pago de regalías de la ANM, con promedio 2021-2025: 140.722 toneladas. Se corrobora en los recaudos por mineral de la ANM con actividad vigente y continua en las vigencias 2021, 2022 y 2023.</t>
  </si>
  <si>
    <t>Final. El feldespato nacional alimenta la industria cerámica (sanitarios, gres, porcelana) y de vidrio como insumo de productos finales con mineral colombiano.</t>
  </si>
  <si>
    <t>Asociado a Apuesta 3 del CONPES 4129 vía la industria farmacéutica (materia prima del ácido fluorhídrico, insumo de fármacos fluorados).</t>
  </si>
  <si>
    <t>No hay producción nacional reportada en la base de producción asociada a pago de regalías de la ANM ni en los recaudos por mineral de la ANM en las vigencias 2021, 2022, 2023, 2024 y 2025 (último registro 2018 en Aratoca, Santander). La industria nacional, si existe, opera con mineral importado.</t>
  </si>
  <si>
    <t>No aplica: sin producción nacional reportada.</t>
  </si>
  <si>
    <t>Asociado a Apuesta 1 del CONPES 4129 vía las industrias: ánodos baterías Li-ion, electromovilidad.</t>
  </si>
  <si>
    <t>Producción nacional confirmada en la base de producción asociada a pago de regalías de la ANM, con promedio 2021-2025: 384 toneladas. Se corrobora en los recaudos por mineral de la ANM con actividad vigente y continua en las vigencias 2021, 2022, 2023, 2024 y 2025.</t>
  </si>
  <si>
    <t>Primaria. Producción menor que se comercializa como concentrado mineral; sin transformación nacional a ánodos de baterías, electrodos ni grafito industrial avanzado con mineral colombiano.</t>
  </si>
  <si>
    <t>Asociado a Apuesta 1, Apuesta 4 del CONPES 4129 vía las industrias: siderurgia, aerogeneradores, astilleros, aceros balísticos.</t>
  </si>
  <si>
    <t>Producción nacional confirmada en la base de producción asociada a pago de regalías de la ANM, con promedio 2021-2025: 627.061 toneladas. Se corrobora en los recaudos por mineral de la ANM con actividad vigente y continua en las vigencias 2021, 2022, 2023, 2024 y 2025.</t>
  </si>
  <si>
    <t>Final. Acerías Paz del Río integra la cadena nacional desde el mineral de hierro hasta productos siderúrgicos finales (aceros largos, perfiles, alambrón).</t>
  </si>
  <si>
    <t>Asociado a Apuesta 1 del CONPES 4129 vía las industrias: almacenamiento (baterías Li-ion).</t>
  </si>
  <si>
    <t>No hay producción nacional reportada en la base de producción asociada a pago de regalías de la ANM ni en los recaudos por mineral de la ANM en las vigencias 2021, 2022, 2023, 2024 y 2025. La industria nacional, si existe, opera con mineral importado.</t>
  </si>
  <si>
    <t>Asociado a Apuesta 1, Apuesta 2, Apuesta 3, Apuesta 4 del CONPES 4129 vía las industrias: minerales no metálicos, fertilizantes, farmacéutica, aeronáutica.</t>
  </si>
  <si>
    <t>Producción nacional confirmada en la base de producción asociada a pago de regalías de la ANM, con promedio 2021-2025: 1.701 toneladas. Se corrobora en los recaudos por mineral de la ANM con actividad vigente en las vigencias 2021, 2023, 2024 y 2025.</t>
  </si>
  <si>
    <t>Intermedia. La magnesita nacional se procesa a magnesia cáustica y refractarios industriales como insumo intermedio con mineral colombiano.</t>
  </si>
  <si>
    <t>Asociado a Apuesta 1, Apuesta 4 del CONPES 4129 vía las industrias: siderurgia, baterías, aceros balísticos.</t>
  </si>
  <si>
    <t>Producción nacional confirmada en la base de producción asociada a pago de regalías de la ANM, con promedio 2021-2025: 74.272 toneladas (concentrada en 2023). Se corrobora en los recaudos por mineral de la ANM con actividad vigente en las vigencias 2021, 2022, 2024 y 2025.</t>
  </si>
  <si>
    <t>Primaria. El manganeso producido se exporta principalmente como mineral concentrado; sin transformación nacional a ferromanganeso ni a compuestos químicos industriales con mineral colombiano.</t>
  </si>
  <si>
    <t>Los materiales de construcción (arenas, gravas, recebos, arcillas) no se vinculan directamente con ninguna de las cuatro apuestas vigentes del CONPES 4129.</t>
  </si>
  <si>
    <t>Metales del grupo del platino (MGP)</t>
  </si>
  <si>
    <t>Asociado a Apuesta 1, Apuesta 3 del CONPES 4129 vía las industrias: catalizadores automotrices, dispositivos médicos.</t>
  </si>
  <si>
    <t>Producción nacional confirmada en la base de producción asociada a pago de regalías de la ANM, con promedio 2021-2025: 810.062 gramos. Se corrobora en los recaudos por mineral de la ANM con actividad vigente y amplia en las vigencias 2021, 2022, 2023, 2024 y 2025.</t>
  </si>
  <si>
    <t>Primaria. El platino se obtiene como subproducto aluvial del oro principalmente en el Chocó. Sin transformación industrial nacional a catalizadores, dispositivos electrónicos ni componentes especializados con mineral colombiano.</t>
  </si>
  <si>
    <t>Asociado a Apuesta 1, Apuesta 3, Apuesta 4 del CONPES 4129 vía las industrias: siderurgia (aceros especiales), implantes, aceros balísticos.</t>
  </si>
  <si>
    <t>No hay industria nacional vigente con mineral colombiano. La base de Información Regalías y Volumen Mineral no registra producción 2021-2025 y los recaudos por mineral de la ANM solo registran un pago marginal de $1 en 2024 sin actividad sostenida. La industria nacional, si existe, opera con mineral importado.</t>
  </si>
  <si>
    <t>No aplica: sin cadena nacional con mineral colombiano.</t>
  </si>
  <si>
    <t>Asociado a Apuesta 3, Apuesta 4 del CONPES 4129 vía las industrias: dispositivos médicos (Ta), aeronáutica y drones (superaleaciones).</t>
  </si>
  <si>
    <t>Producción nacional confirmada en los recaudos por mineral de la ANM con actividad amplia y continua en las vigencias 2021, 2022, 2023, 2024 y 2025; la base de Información Regalías y Volumen Mineral registra volumen declarado únicamente para tantalio en 2025 (87.451 kg).</t>
  </si>
  <si>
    <t>Primaria. Producción de niobio y tantalio se comercializa como concentrado mineral; sin transformación nacional a óxidos refinados, ferroniobio ni componentes electrónicos con mineral colombiano.</t>
  </si>
  <si>
    <t>Asociado a Apuesta 1, Apuesta 3, Apuesta 4 del CONPES 4129 vía las industrias: siderurgia inoxidable, baterías, implantes médicos, astilleros.</t>
  </si>
  <si>
    <t>Producción nacional confirmada en la base de producción asociada a pago de regalías de la ANM, con promedio 2021-2025: 86.169.735 libras. Se corrobora en los recaudos por mineral de la ANM con actividad vigente, amplia y continua en las vigencias 2021, 2024 y 2025.</t>
  </si>
  <si>
    <t>Intermedia. Cerro Matoso produce ferroníquel, producto intermedio usado por la industria siderúrgica internacional. La cadena nacional alcanza transformación intermedia con mineral colombiano.</t>
  </si>
  <si>
    <t>Asociado a Apuesta 3 del CONPES 4129 vía las industrias: joyería e implantes (uso marginal en cadenas industriales del CONPES).</t>
  </si>
  <si>
    <t>Producción nacional confirmada en la base de producción asociada a pago de regalías de la ANM, con promedio 2021-2025: 56.395.970 gramos. Se corrobora en los recaudos por mineral de la ANM con actividad vigente, amplia y continua en las vigencias 2021, 2022, 2023, 2024 y 2025.</t>
  </si>
  <si>
    <t>Intermedia. La producción aurífera nacional se transforma a doré (aleación semielaborada Au-Ag-Cu) mediante fundición. La refinación final ocurre en el exterior. Sin transformación industrial nacional a joyería de alto valor agregado, implantes o componentes electrónicos con mineral colombiano.</t>
  </si>
  <si>
    <t>Asociado a Apuesta 1, Apuesta 3 del CONPES 4129 vía las industrias: paneles solares, implantes y dispositivos médicos.</t>
  </si>
  <si>
    <t>Producción nacional confirmada en la base de producción asociada a pago de regalías de la ANM, con promedio 2021-2025: 46.842.152 gramos. Se corrobora en los recaudos por mineral de la ANM con actividad vigente y amplia en las vigencias 2021, 2022, 2023, 2024 y 2025, principalmente como subproducto del oro.</t>
  </si>
  <si>
    <t>Intermedia. Subproducto del oro; sale junto al oro como parte del doré nacional (aleación semielaborada). La separación final entre Au y Ag se hace en refinerías del exterior. Sin transformación industrial nacional a paneles solares, dispositivos electrónicos ni componentes especializados con mineral colombiano.</t>
  </si>
  <si>
    <t>Asociado a Apuesta 1, Apuesta 4 del CONPES 4129 vía las industrias: baterías plomo-ácido (almacenamiento estacionario, arranque automotriz), municiones, blindajes balísticos / radiológicos.</t>
  </si>
  <si>
    <t>Producción nacional confirmada en la base de producción asociada a pago de regalías de la ANM, con promedio 2021-2025: 3.333 toneladas (concentrada en 2023). Se corrobora en los recaudos por mineral de la ANM con actividad en las vigencias 2023, 2024 y 2025 principalmente como subproducto polimetálico (concentrado Pb-Ag).</t>
  </si>
  <si>
    <t>Primaria. El plomo colombiano se exporta como concentrado polimetálico; sin transformación industrial nacional a baterías plomo-ácido ni a productos químicos con mineral colombiano.</t>
  </si>
  <si>
    <t>Asociado a Apuesta 2, Apuesta 3 del CONPES 4129 vía las industrias: fertilizantes NPK, farmacéutica.</t>
  </si>
  <si>
    <t>Sí. Existe industria nacional que consume potasio y sus derivados: la industria de fertilizantes NPK y de mezclas físicas, con plantas de producción y de mezcla en el país (entre otras, la planta de NPK de Yara en Cartagena y su planta de mezclas en Yotoco, Valle del Cauca). El consumo nacional de fertilizantes se estima en cerca de 2 millones de toneladas anuales y el cloruro de potasio (KCl) es uno de los cuatro insumos que concentran el 75 % de las importaciones de fertilizantes del país.</t>
  </si>
  <si>
    <t>Importado. Colombia no registra producción nacional de potasio en la base de producción asociada a pago de regalías de la ANM ni en los recaudos por mineral; la totalidad del cloruro de potasio que consume la industria nacional de fertilizantes es importada. V1 = 60.</t>
  </si>
  <si>
    <t>Asociado a Apuesta 1, Apuesta 2 del CONPES 4129 vía las industrias: fertilizantes NPK; baterías Na-ion / LFP.</t>
  </si>
  <si>
    <t>Producción nacional confirmada en la base de producción asociada a pago de regalías de la ANM, con promedio 2021-2025: 69.530 toneladas. Se corrobora en los recaudos por mineral de la ANM con actividad vigente y continua en las vigencias 2021, 2022, 2023, 2024 y 2025.</t>
  </si>
  <si>
    <t>Intermedia. La roca fosfórica colombiana se procesa nacionalmente a enmiendas y fertilizantes obtenidos por acidulación parcial (SSP) como insumo intermedio para el sector agro. Los fertilizantes de acidulación total (DAP, MAP, NPK) se producen con fosfatos importados.</t>
  </si>
  <si>
    <t>Asociado a Apuesta 1, Apuesta 2, Apuesta 3 del CONPES 4129 vía las industrias: alimentos (sal), fertilizantes (Na-ion), química básica.</t>
  </si>
  <si>
    <t>Producción nacional confirmada en la base de producción asociada a pago de regalías de la ANM, con promedio 2021-2025: 375.223 toneladas. Se corrobora en los recaudos por mineral de la ANM con actividad vigente, amplia y continua en las vigencias 2021, 2023 y 2025.</t>
  </si>
  <si>
    <t>Final. La sal nacional (Manaure, Zipaquirá, Galerazamba) alimenta la industria alimentaria y química básica (cloro-soda) como producto final integrado con mineral colombiano.</t>
  </si>
  <si>
    <t>Asociado a Apuesta 1, Apuesta 3, Apuesta 4 del CONPES 4129 vía las industrias: implantes médicos, aeronáutica, paneles solares.</t>
  </si>
  <si>
    <t>Producción nacional confirmada en la base de producción asociada a pago de regalías de la ANM, con promedio 2021-2025: 26.523 kilogramos. Se corrobora en los recaudos por mineral de la ANM con actividad vigente en las vigencias 2022, 2023, 2024 y 2025.</t>
  </si>
  <si>
    <t>Primaria. Producción reciente de titanio se exporta como concentrado mineral; sin transformación industrial nacional a implantes médicos, pigmentos TiO2 ni componentes aeronáuticos con mineral colombiano.</t>
  </si>
  <si>
    <t>Asociado a Apuesta 3 del CONPES 4129 vía las industrias: radiofármacos / medicina nuclear.</t>
  </si>
  <si>
    <t>Asociado a Apuesta 1, Apuesta 4 del CONPES 4129 vía las industrias: siderurgia (aceros especiales), aceros balísticos.</t>
  </si>
  <si>
    <t>Producción nacional confirmada en los recaudos por mineral de la ANM con actividad en las vigencias 2021, 2022, 2023 y 2025; la base de Información Regalías y Volumen Mineral no registra volumen declarado en ese periodo (último registro 2020).</t>
  </si>
  <si>
    <t>Primaria. La producción de wolframio se comercializa como mineral concentrado; sin transformación nacional a carburos cementados, aceros especiales ni componentes balísticos con mineral colombiano.</t>
  </si>
  <si>
    <t>Asociado a Apuesta 1, Apuesta 2, Apuesta 3 del CONPES 4129 vía las industrias: minerales no metálicos (cementos y construcción), fertilizantes, farmacéutica.</t>
  </si>
  <si>
    <t>Producción nacional confirmada en la base de producción asociada a pago de regalías de la ANM, con promedio 2021-2025: 485.287 toneladas. Se corrobora en los recaudos por mineral de la ANM con actividad vigente y continua en las vigencias 2021, 2022, 2023, 2024 y 2025.</t>
  </si>
  <si>
    <t>Final. El yeso nacional se procesa a placas de yeso (drywall) como producto final de construcción listo para instalación, a prefabricados y como aditivo para cementos.</t>
  </si>
  <si>
    <t xml:space="preserve">Asociado a Apuesta 2 del CONPES 4129 vía la industria agroindustrial (fertilizantes de liberación lenta, mejorador de suelos, adsorbente en alimentos para animales). </t>
  </si>
  <si>
    <t>No hay producción nacional reportada en la base de producción asociada a pago de regalías de la ANM ni en los recaudos por mineral de la ANM en las vigencias 2021, 2022, 2023, 2024 y 2025; la base de Información Regalías y Volumen Mineral no registra producción histórica del mineral. La industria nacional, si existe, opera con mineral importado.</t>
  </si>
  <si>
    <t>Asociado a Apuesta 3, Apuesta 4 del CONPES 4129 vía las industrias: farmacéutica, astilleros (galvanizado), municiones.</t>
  </si>
  <si>
    <t>Producción nacional confirmada en la base de producción asociada a pago de regalías de la ANM, con promedio 2021-2025: 11.067.047 kilogramos. Se corrobora en los recaudos por mineral de la ANM con actividad vigente en las vigencias 2021, 2022, 2023, 2024 y 2025.</t>
  </si>
  <si>
    <t>Primaria. Producción reciente de zinc se comercializa como concentrado mineral; sin transformación industrial nacional a aleaciones, productos galvanizados ni compuestos químicos con mineral colombiano.</t>
  </si>
  <si>
    <t xml:space="preserve">Evaluación Criterio 4. Favorabilidad geológica y potencial minero en Colombia </t>
  </si>
  <si>
    <t xml:space="preserve"> Variable 1. Favorabilidad Geológica</t>
  </si>
  <si>
    <t>Puntaje Asignado</t>
  </si>
  <si>
    <t>Descripción de la Asignación del Puntaje</t>
  </si>
  <si>
    <t>Fuente de Información</t>
  </si>
  <si>
    <t>Marco de Evaluación de Favorabilidad Geológica</t>
  </si>
  <si>
    <t>Se reportan 0,19 Mt de recursos indicados y 34, 08 Mt de recursos medidos de bauxita.</t>
  </si>
  <si>
    <t>Reporte de R&amp;R - ANM Corte a 30 de Dic 2025</t>
  </si>
  <si>
    <t>Variable</t>
  </si>
  <si>
    <t>Parámetro</t>
  </si>
  <si>
    <t>Puntaje</t>
  </si>
  <si>
    <r>
      <t>Arenas silíceas</t>
    </r>
    <r>
      <rPr>
        <sz val="12"/>
        <color rgb="FFC00000"/>
        <rFont val="Aptos Narrow"/>
        <family val="2"/>
        <scheme val="minor"/>
      </rPr>
      <t xml:space="preserve"> </t>
    </r>
  </si>
  <si>
    <t>Se reportan 30,46 Mm3 de recursos inferidos, 28,40 Mm3 de recursos indicados y 131,19 Mm3 de recursos medidos de arenas silíceas.</t>
  </si>
  <si>
    <t>1. Favorabilidad Geológica</t>
  </si>
  <si>
    <t>El mineral no cuenta con ocurrencias, prospectos, prospectos desarrollados o depósitos documentados. </t>
  </si>
  <si>
    <t>Se reporta ocurrencia y productor pasado de azufre nativo en el Volcán Puracé, departamento de Cauca.</t>
  </si>
  <si>
    <t>Mapa Metalogénico de Colombia versión 2022</t>
  </si>
  <si>
    <t>El mineral cuenta con ocurrencias documentadas. </t>
  </si>
  <si>
    <t>Se reportan múltiples ocurrencias y productores tanto pasados como actuales de baritina en los departamentos de Cundinamarca, Tolima, Huila, Santander, Norte de Santander y Guajira.
Se reportan 6,24 Mt de recursos inferidos, 33,01 Mt de recursos indicados y 6,98 Mt de recursos medidos de baritina.</t>
  </si>
  <si>
    <t>Mapa Metalogénico de Colombia versión 2022
Reporte de R&amp;R - ANM Corte a 30 de Dic 2025</t>
  </si>
  <si>
    <t>El mineral cuenta con prospectos documentados. </t>
  </si>
  <si>
    <t>Reporte de múltiples Bloques Calcáreos a lo largo del territorio nacional.</t>
  </si>
  <si>
    <t>La Caliza en Colombia: Geología, Recursos, Calidad y Potencial. SGC (2011)</t>
  </si>
  <si>
    <t>El mineral se encuentra asociado a prospectos desarrollados o depósitos minerales documentados, pero aún no cuenta con reporte de recursos minerales por parte de títulos mineros vigentes bajo el Estándar Colombiano de Recursos y Reservas (ECRR) o un estándar internacional reconocido. </t>
  </si>
  <si>
    <t>Reporte de Zonas Carbóníferas en la Provincias Metalogénicas Andinas Occidental y Oriental.</t>
  </si>
  <si>
    <t>El mineral se encuentra asociado a prospectos desarrollados o depósitos minerales documentados y cuenta con reporte de recursos minerales por parte de títulos mineros vigentes bajo el Estándar Colombiano de Recursos y Reservas (ECRR) o un estándar internacional reconocido. </t>
  </si>
  <si>
    <t>Reporte de múltiples Distritos Metalogénicos de Cu en la Provincia Metalogénica Andina Occidental, específicamente la la Subprovincia Metalogénica Cañasgordas - Baudó. Adicionalmente, se presentan en menor medida Distritos Metalogénicos de Cu en la Provincia Metalogénica Andina Central y Oriental, y en la Subprovincia Metalogénica de la Serranía del Perijá.</t>
  </si>
  <si>
    <t>El mineral cuenta con distritos metalogénicos, distritos aluviales, cinturones metalogénicos definidos, zonas carboníferas, zonas de fosfatos, bloques calcáreos o zonas con potencial para materiales de construcción. </t>
  </si>
  <si>
    <t>Se reportan ocurrencias y productores pasados de cromita en dunitas del Valle de Aburrá, Antioquia; y en rocas del Conjunto Metamórfico de Etpana, en La Guajira.</t>
  </si>
  <si>
    <t xml:space="preserve">Como elementos secundarios (by product), las tierras raras pueden asociarse a depósitos de arenas negras, uranio y pegmatitas con contenido de fosfatos como la xenotima, monacita y apatito. 
Se reporta contenido de elementos de tierras raras (ETR) en el proyecto Mynastic asociadas a depositos aluviales con columbita-tantalita, casiterita, ilmenita, rutilo, magnetita, monacita y zircón en el municipio de Puerto Carreño, Vichada.
Se reporta contenido de elementos de tierras raras (ETR) concentrados de batea de depósitos superficiales (coluviales y aluviales) en la región de Cerro Espina, San José y Barranquilla, en el departamento de Guainía.
Se reporta presencia de elementos de tierras raras (ETR) en depósito de uranio de Berlín, Caldas, correspondiente a un prospecto desarrollado. 
Se reporta contenido de elementos de tierras raras (ETR) en arenas negras residuo de la minería de oro en El Bagre, Antioquia, así como en Arenas Negras en Dibulla, Guajira.
</t>
  </si>
  <si>
    <t xml:space="preserve"> Auxico Resources. (2025). Minastyc Project,
Puerto Carreño, Department of Vichada, Republic of Colombia.
Franco Victoria, J. A. (2025). Mineralogía y geocronología de Nb-rutilos, columbitas-tantalitas y minerales REE, asociados a granitos anorogénicos del Mesoproterozoico al E de Colombia: Evidencias de su origen e implicaciones en la datación de pegmatitas y eventos mineralizantes al NW del Cratón Amazónico.
U308 CORP (2002). Techinal Report on the Berlin Uranium
Proyecto UNAL: Recuperación de Elementos de Tierras Raras a partir de Minerales presentes en las Arenas Negras, Residuo de la Explotación Minera de Oro Aluvial en El Bagre-Antioquia
Jimenez, C; Salamanca, A. (2007). Evaluación de Hierro y Titanio en los Depósitos de Arenas Negras de la Zona Costera ubicada entre los Ríos Palomino y Ancho, Municipio de Dibulla, Departamento de La Guajira. Universidad Nacional de Colombia, Bogotá.</t>
  </si>
  <si>
    <t>Se reportan dos Cinturones Metalogénicos definidos: Oriental y Occidental, en Boyacá-Cundinamarca.</t>
  </si>
  <si>
    <t>Se reportan ocurrencias de casiterita en el Gneis de Bucaramanga, Santander.
Se reportan ocurrencias de casiterita como inclusiones en rutilos en Cachicamo Vichada</t>
  </si>
  <si>
    <t>Mapa Metalogénico de Colombia versión 2022
Franco, J. A., Cramer, T., Bonilla, A., Castañeda, A. J., Poujol, M., &amp; Amaya, Z. (2021). Mineralogía y geocronología de rutilo-(Nb,Ta) relacionado a casiterita y columbita-tantalita provenientes de rocas Mesoproterozoicas del Cratón Amazónico cerca de Cachicamo, Colombia. Boletín De Geología, 43(1), 99–126.</t>
  </si>
  <si>
    <t>Se reportan manifestaciones/ocurrencias de feldespato en los departamentos de Tolima, Antioquia y los Santanderes.</t>
  </si>
  <si>
    <t>Libro de Recursos Minerales Tomo III. SGC (2007)</t>
  </si>
  <si>
    <t>Flúor</t>
  </si>
  <si>
    <t>Se reportan prospectos de fluorita así como productores pasados en el departamento de Santander.</t>
  </si>
  <si>
    <t>INGEOMINAS (1982). Barita y Fluorita en la Mesa de los Santos y Pescadero, Santander
Mapa Metalogénico de Colombia versión 2022</t>
  </si>
  <si>
    <t xml:space="preserve">Se reportan ocurrencias de grafito en rocas metamórficas del Complejo Cajamarca en el departamento de Tolima, así como en granulitas de la Sierra Nevada de Santa Marta.
</t>
  </si>
  <si>
    <t>Reporte de Distrito Metalogénico de Hierro en el municipio de Paz del Río, departamento de Boyacá.</t>
  </si>
  <si>
    <t>Se reportan zonas que pueden ser consideradas como prospectos de Litio según documento clasificado del SGC. 
Se reportan ocurrencias de Litio concentrado en salmueras en el municipio de Paipa, departamento de Boyacá.</t>
  </si>
  <si>
    <t xml:space="preserve"> Documento clasificado SGC.
Reyes, O. (2024) Evaluación geoquímica y económica de la extracción de Litio en salmueras profundas usando un modelo conceptual de plantas geotérmicas en Paipa, Boyacá. </t>
  </si>
  <si>
    <t>Reporte de Distrito Metalogénico de Magnesio en el municipio de Bolívar, departamento de Valle del Cauca.</t>
  </si>
  <si>
    <t>Se reportan ocurrencias de pirolusita en las lutitas de Macanal en el departamento de Boyacá, y rodocrocita en la Formación Barroso en el Departamento de Caldas.</t>
  </si>
  <si>
    <t>Materiales de Construcción (Arcillas, arenas y gravas)</t>
  </si>
  <si>
    <t>Reporte de múltiples Zonas de Materiales de Construcción a lo largo del territorio nacional.</t>
  </si>
  <si>
    <t xml:space="preserve">SGC (2011); Mapa de Recursos Minerales de Colombia Materiales de Construcción. INGEOMINAS (2001). Mapa de Zonas con Potencial Integral para Recursos Minerales de Colombia - Grupo 7. Materiales de Construcción. </t>
  </si>
  <si>
    <t>Reporte de múltiples Distritos Aluviales de Au-Pt en la Provincia Metalogénica Occidental y Central.</t>
  </si>
  <si>
    <t>Se reportan ocurrencia de molibdeno asociada a sistema tipo pórfido en el departamento del Cauca.
Se reportan 601,5 Mlb de recursos inferidos,  72,0 Mlb de recursos indicados y  33,0 Mlb de recursos medidos de molibdeno.</t>
  </si>
  <si>
    <t xml:space="preserve">Se reporta ocurrencias de niobio-tantalio en Casuarito y Cachicamo, en el departamento de Vichada.
Se reporta ocurrencias de niobio-tantalio en concentrados de batea de depósitos superficiales (coluviales y aluviales) en la región de Cerro Espina, San José y Barranquilla, en el departamento de Guainía.
Se reporta prospecto de niobio-tantalio en el proyecto Mynastic asociadas a depositos aluviales con casiterita, ilmenita, rutilo, magnetita, monacita, zircón y contenido de ETR en el municipio de Puerto Carreño, Vichada.
</t>
  </si>
  <si>
    <t>Reporte de Cinturón Metalogénico definido para Níquel en los municipios de Montelíbano y Planeta Rica, departamento de Córdoba.</t>
  </si>
  <si>
    <t>Reporte de múltiples Distritos Metalogénicos de Au-(Ag) tanto en el dominio metalogénico Andino como del Cratón amazónico.</t>
  </si>
  <si>
    <t>Se reportan múltiples ocurrencias asociadas a rocas sedimentarias (estrato-ligados), ígneas y metamórficas (venillas) en los departamentos de Cundinarmaca y Norte Santander; así como y prospectos asociados a filones de cuarzo con sulfuros de plomo, cobre y cinc, en rocas del Batolito de Ibagué y el Stock del Hatillo, en el departamento del Tolima.</t>
  </si>
  <si>
    <t>Se reportan zonas que pueden ser consideradas como prospectos de Potasio según documento clasificado del SGC.
A su vez se reporta ocurrencia de sales de Potasio en La Mesa de los Santos, departamento de Santander.</t>
  </si>
  <si>
    <t xml:space="preserve"> Documento clasificado SGC.
González, L;  Espinosa, A. (2012). Hallazgo de Yacimientos de Sales de Potasio en Colombia.</t>
  </si>
  <si>
    <t>Reporte de Zonas de Fosfatos en la Subprovincias Metalogénicas de la Cordillera Oriental.</t>
  </si>
  <si>
    <t xml:space="preserve">Sodio </t>
  </si>
  <si>
    <t>Se reportan 221,4 Mt de recursos inferidos, 436,16 Mt de recursos indicados y 102,49 Mt de recursos medidos sal gema.</t>
  </si>
  <si>
    <t>Se reportan ocurrencias en la Sierra Nevada de Santa Marta.</t>
  </si>
  <si>
    <t>Se reporta prospecto desarrollado de Uranio en Berlín, Caldas, sin embargo, no cuenta con estimación de recursos minerales.</t>
  </si>
  <si>
    <t>Se evidencian ocurrencias de wolframita en depósitos aluviales de las comunidades indígenas de Matraca y Caranacoa en el Departamento de Guanía, y un prospecto en el departamento de Vaupés, adelantado por ASOMIVA.</t>
  </si>
  <si>
    <t>Se reportan ocurrencias y productores pasados. 
Se reportan 21,97 Mt de recursos inferidos, 22,45 Mt de recursos indicados y 20,3 Mt de recursos medidos de yeso.</t>
  </si>
  <si>
    <t>Se reporta ocurrencia de zeolita en rocas de la Formación Combia, en el municipio de La Pintada, Antioquia. Se reporta ocurrencia de zeolita en rocas de la Formación Paja, en el departamento de Santander.</t>
  </si>
  <si>
    <t xml:space="preserve">Gelves J. (2017). Zeolitas naturales colombianas de la formación Combia, municipio de La Pintada: mineralogía, caracterización y aplicaciones. Tesis Doctorado, Universidad Nacional de Colombia.
Ríos C., Reyes G., Henao J., Williams C., Dyer A. (2021). First Report on the Geologic Occurrence of Natural Na–A Zeolite and Associated Minerals in Cretaceous Mudstones of the Paja Formation of Vélez (Santander), Colombia.  Cristals Journal, Zeolites. 19-34. </t>
  </si>
  <si>
    <t>Se reportan ocurrencias en venas y venillas de yeso y pirita, y productores pasados en la zona minera El Rincón, en el municipio de Junín, departamento de Cundinamarca. 
Se reportan 0,03 Mt de recursos inferidos, 0,17 Mt de recursos  indicados y 0,07 Mt de recursos medidos de zinc.</t>
  </si>
  <si>
    <t>Variable 2. Favorabilidad Minera</t>
  </si>
  <si>
    <t xml:space="preserve">Descripción </t>
  </si>
  <si>
    <t>Fuente de Información Corte 19/05/2026</t>
  </si>
  <si>
    <t>Marco de Evaluación del Potencial Minero</t>
  </si>
  <si>
    <t xml:space="preserve">Se evidencia declaración de producción y liquidación de regalias para mineral de Bauxita Contrato de Concesión 21969, I trimestre de 2026, evento AnnA Mineria No. 896160, jurisdiccion del municipio de Jamundi en el departamento del Valle del Cauca.
En el libro de Recaudo 2019-2026:
* Se registran 8 expedientes que presentan declaración de produccion y liquidación de regalias para mineral de Bauxita para el periodo 2024 a 2026. De los cuales se tiene que respecto de los que tienen el mineral concesionado existen 1 titulo minero de pequeña minería, 1 titulo minero de mediana minería, 1 subcontrato; asi mismo realizada la busqueda de los expedientes en AnnA Minería se evidencian expedientes que no cuentan con el mineral concesionado, así: 2 títulos mineros de mediana minería. Asi mismo se evidencian 3 recaudo de regalias de expedientes que estan en proceso de evaluación bajo la modalidad de solicitud de legalización, de ellos 2 que se encuentran sin clasificación cuentan con mineral de aluminio como mineral de activo y otra solicitud de mediana mineria no cuenta con aluminio o bauxita como mineral de interes,
En Anna Minería:
* De los 9 titulos mineros con el mineral concesionado, se registran 3 expedientes de explotadores mineros autorizados con reporte de regalías para los años 2024 2026.  De los cuales se tiene que respecto de los que tienen el mineral concesionado existen 1 titulo minero de pequeña minería, 1 titulo minero de mediana minería, 1 subcontrato.
</t>
  </si>
  <si>
    <t>SIGM - AnnA Minería</t>
  </si>
  <si>
    <t xml:space="preserve">Parámetro </t>
  </si>
  <si>
    <t>La explotación de mineral de arenas siliceas en títulos mineros activos (corte al 30/06/2026) representa el 7,24 % de la concesión total en etapa contractual de explotación en el país.
En el libro de racaudo 2019-2026
* Se registran al menos 5 titulos mineros de mediana minería que presentan declaración de produccion y liquidación de regalias para mineral de arenas siliceas en el periodo 2024 a 2026. 
En Anna Minería:
* De los 338 titulos mineros con el mineral concesionado, se registran 2 titulos mineros de gran minería, 80 titulos mineros de mediana minería, 194 titulos mineros de pequeña minería, 31 titulos a los cuales no aplica la clasificación de escala y 31 titulos sin clasificación de escala.</t>
  </si>
  <si>
    <t>2. Potencial Minero</t>
  </si>
  <si>
    <t>No existen títulos mineros vigentes para el mineral, elemento o materia prima en el país.</t>
  </si>
  <si>
    <t xml:space="preserve">En el libro de Recaudo 2019-2026:
* Se registran 6 expedientes que presentan declaración de produccion y liquidación de regalias para mineral de Azufre para el periodo 2024 a 2026. De los cuales se tiene que respecto de los expedientes que reportan declaracion de producción y liquidación de regalías corresponden a expedientes que no cuentan con un titulo minero y se encuentran distribuidos así: 2 solicitues de contrato de concesion L 685 de mediana minería que no cuentan con  Azufre como mineral activo, 2 solicitudes de legalizacion en proceso de evaluación sin clasificación de escala que si cuentan con Azufre como mineral activo, 1 solicitud de ARE en proceso de evaluación sin clasificación de escala y sin el mineral de Azufre como mineral activo y 1 solicitud de legalización en estado archivada sin clasificación de escala y contó con Azufre como mineral activo.  
En Anna Minería:
* Con base en la información del libro de racaudo 2019-2026 se informa que de los 3 titulos mineros con el mineral concesionado, ningun expediente de explotadores mineros autorizados cuenta con reporte de regalías para los años 2019 - 2026.
</t>
  </si>
  <si>
    <t>Existen títulos mineros vigentes para el mineral, elemento o materia prima en el país, en etapa contractual de exploración o construcción y montaje.</t>
  </si>
  <si>
    <t xml:space="preserve">En el libro de Recaudo 2019-2026:
* Se registran 7 expedientes identificables que presentan declaración de produccion y liquidación de regalias para mineral de Baritina o Sulfato de Bario, para el periodo 2024 a 2026. De los cuales se tiene que respecto de los que tienen el mineral concesionado existen 2 titulos mineros de pequeña minería, 2 titulo minero de mediana minería y 1 solicitud de legalización sin clasificación de escala minera en proceso de evaluación y 1 licencia de explotacion en estado terminada (cuyos pagos si bien se realizaron en el año 2025 hacen referencia a notas debito del año 2019), así mismo se registra 1 titulo minero de mediana mineria que presenta declaracion de produccion y liquidacion de regalias para el mineral de Barita pero no se encuentra asociado dentro de los minerales concesionados. 
Del mismo modo se precisa que se evidencia pago de otro expediente pero no se encuentra información titular NORMARI LTDA.
En Anna Minería:
* De los 18 titulos mineros con el mineral concesionados, se registran 4 expedientes de explotadores mineros autorizados con reporte de producción y liquidación de regalías para los años 2024 2026.  De los cuales se tiene que respecto de los que tienen el mineral concesionado exiten 2 titulos mineros de pequeña minería, 2 titulos mineros de mediana minería.
Los 14 titulos mineros restantes se distribuyen así: 4 titulos mineros pequeña minería, 5 titulos mineros de mediana minería, 2 títulos mineros bajo concesion de concesión especial (ARE) de pequeña minería que presentan formularios con producción en 0 de los cuales en el libro de recaudo 1 presenta historicos de liquidaión de regalías para el año 2021, asi mismo se evidencian titulos mineros sin la presentación de los formularios para la declaración de producción y liquidación de regalias, asi: 2 titulos mineros de pequeña minería y 1 título de mediana minería.
</t>
  </si>
  <si>
    <t>Existen registros de producción histórica del mineral, elemento o materia prima pero actualmente no se encuentra en explotación.</t>
  </si>
  <si>
    <t>La explotación de mineral de caliza y marmoles en títulos mineros activos (corte al 28/06/2026) representa el 10,97 % de la concesión total en etapa contractual de explotación en el país.
En el libro de Recaudo 2019-2026:
* Se registran 2 titulos mineros que presentan declaración de produccion y liquidación de regalias para mineral de Caliza para el periodo 2024 a 2026. 
En Anna Minería:
* De los 580 titulos mineros reportados en AnnA mineria, 11 expedientes con el mineral concesionado están clasificados como gran minería, dos de ellos relacionados en el libro de recaudo de regalias 2019-2026, los otos 9 si bien presentan la declaración de producción no hay registro de liquidación de regalías.</t>
  </si>
  <si>
    <r>
      <rPr>
        <sz val="10"/>
        <color rgb="FF000000"/>
        <rFont val="Segoe UI"/>
        <family val="2"/>
      </rPr>
      <t xml:space="preserve">Existen títulos mineros vigentes para el mineral, elemento o materia prima con reporte de </t>
    </r>
    <r>
      <rPr>
        <b/>
        <sz val="10"/>
        <color rgb="FF000000"/>
        <rFont val="Segoe UI"/>
        <family val="2"/>
      </rPr>
      <t>reservas minerales</t>
    </r>
    <r>
      <rPr>
        <sz val="10"/>
        <color rgb="FF000000"/>
        <rFont val="Segoe UI"/>
        <family val="2"/>
      </rPr>
      <t xml:space="preserve"> bajo el estándar colombiano o un estándar internacional.
o
Se registran entre </t>
    </r>
    <r>
      <rPr>
        <b/>
        <sz val="10"/>
        <color rgb="FF000000"/>
        <rFont val="Segoe UI"/>
        <family val="2"/>
      </rPr>
      <t xml:space="preserve">1 y 10 </t>
    </r>
    <r>
      <rPr>
        <sz val="10"/>
        <color rgb="FF000000"/>
        <rFont val="Segoe UI"/>
        <family val="2"/>
      </rPr>
      <t xml:space="preserve">explotadores mineros autorizados para el mineral, elemento o materia prima en operaciones de </t>
    </r>
    <r>
      <rPr>
        <b/>
        <sz val="10"/>
        <color rgb="FF000000"/>
        <rFont val="Segoe UI"/>
        <family val="2"/>
      </rPr>
      <t>pequeña escala</t>
    </r>
    <r>
      <rPr>
        <sz val="10"/>
        <color rgb="FF000000"/>
        <rFont val="Segoe UI"/>
        <family val="2"/>
      </rPr>
      <t xml:space="preserve"> con declaración y liquidación de regalías desde el año 2024 hasta la fecha.</t>
    </r>
  </si>
  <si>
    <t>La explotación de carbón en títulos mineros activos (corte al 28/06/2026) representa el 18,23 % de la concesión total en etapa contractual de explotación en el país.
En el libro de Recaudo 2019-2026:
* Se registra al menos 1 titulo minero de gran minería que presenta declaración de produccion y liquidación de regalias para mineral de Carbón para el periodo 2024 a 2026. 
En Anna Minería:
* De los 964 titulos mineros reportados en AnnA mineria, 30 expedientes con el mineral concesionado están clasificados como gran minería.</t>
  </si>
  <si>
    <r>
      <rPr>
        <sz val="10"/>
        <color rgb="FF000000"/>
        <rFont val="Segoe UI"/>
        <family val="2"/>
      </rPr>
      <t xml:space="preserve">Se registran más de </t>
    </r>
    <r>
      <rPr>
        <b/>
        <sz val="10"/>
        <color rgb="FF000000"/>
        <rFont val="Segoe UI"/>
        <family val="2"/>
      </rPr>
      <t>10</t>
    </r>
    <r>
      <rPr>
        <sz val="10"/>
        <color rgb="FF000000"/>
        <rFont val="Segoe UI"/>
        <family val="2"/>
      </rPr>
      <t xml:space="preserve"> explotadores mineros autorizados para el mineral, elemento o materia prima en operaciones de</t>
    </r>
    <r>
      <rPr>
        <b/>
        <sz val="10"/>
        <color rgb="FF000000"/>
        <rFont val="Segoe UI"/>
        <family val="2"/>
      </rPr>
      <t xml:space="preserve"> pequeña</t>
    </r>
    <r>
      <rPr>
        <sz val="10"/>
        <color rgb="FF000000"/>
        <rFont val="Segoe UI"/>
        <family val="2"/>
      </rPr>
      <t xml:space="preserve"> escala con declaración y liquidación de regalías desde el año 2024 hasta la fecha.
Se registra entre</t>
    </r>
    <r>
      <rPr>
        <b/>
        <sz val="10"/>
        <color rgb="FF000000"/>
        <rFont val="Segoe UI"/>
        <family val="2"/>
      </rPr>
      <t xml:space="preserve"> 1 y 5 </t>
    </r>
    <r>
      <rPr>
        <sz val="10"/>
        <color rgb="FF000000"/>
        <rFont val="Segoe UI"/>
        <family val="2"/>
      </rPr>
      <t xml:space="preserve"> explotadores mineros autorizados para el mineral, elemento, o materia prima en operaciones de </t>
    </r>
    <r>
      <rPr>
        <b/>
        <sz val="10"/>
        <color rgb="FF000000"/>
        <rFont val="Segoe UI"/>
        <family val="2"/>
      </rPr>
      <t>mediana</t>
    </r>
    <r>
      <rPr>
        <sz val="10"/>
        <color rgb="FF000000"/>
        <rFont val="Segoe UI"/>
        <family val="2"/>
      </rPr>
      <t xml:space="preserve"> escala el mineral cuenta con declaraciones y liquidación de regalías desde el año 2024 hasta la fecha. </t>
    </r>
  </si>
  <si>
    <t>La explotación de cobre en títulos mineros activos (corte al 28/06/2026) representa el 2,99 % de la concesión total en etapa contractual de explotación en el país.
En el libro de Recaudo 2019-2026:
* Se registra al menos 1 titulo minero de gran minería que presenta declaración de produccion y liquidación de regalias para mineral de Cobre para el periodo 2024 a 2026. 
En Anna Minería:
* De los 158 titulos mineros reportados en AnnA mineria, 6 expedientes con el mineral concesionado están clasificados como gran minería</t>
  </si>
  <si>
    <r>
      <rPr>
        <sz val="10"/>
        <color rgb="FF000000"/>
        <rFont val="Segoe UI"/>
        <family val="2"/>
      </rPr>
      <t>Se registran más de</t>
    </r>
    <r>
      <rPr>
        <b/>
        <sz val="10"/>
        <color rgb="FF000000"/>
        <rFont val="Segoe UI"/>
        <family val="2"/>
      </rPr>
      <t xml:space="preserve"> 5 </t>
    </r>
    <r>
      <rPr>
        <sz val="10"/>
        <color rgb="FF000000"/>
        <rFont val="Segoe UI"/>
        <family val="2"/>
      </rPr>
      <t xml:space="preserve">explotadores mineros autorizados para el mineral, elemento o materia prima en operaciones de </t>
    </r>
    <r>
      <rPr>
        <b/>
        <sz val="10"/>
        <color rgb="FF000000"/>
        <rFont val="Segoe UI"/>
        <family val="2"/>
      </rPr>
      <t>mediana</t>
    </r>
    <r>
      <rPr>
        <sz val="10"/>
        <color rgb="FF000000"/>
        <rFont val="Segoe UI"/>
        <family val="2"/>
      </rPr>
      <t xml:space="preserve"> escala con declaración y liquidación de regalías desde el año 2024 hasta la fecha.
Se registra </t>
    </r>
    <r>
      <rPr>
        <b/>
        <sz val="10"/>
        <color rgb="FF000000"/>
        <rFont val="Segoe UI"/>
        <family val="2"/>
      </rPr>
      <t>1</t>
    </r>
    <r>
      <rPr>
        <sz val="10"/>
        <color rgb="FF000000"/>
        <rFont val="Segoe UI"/>
        <family val="2"/>
      </rPr>
      <t xml:space="preserve"> o más explotadores mineros autorizados para el mineral, elemento o materia prima en operaciones de </t>
    </r>
    <r>
      <rPr>
        <b/>
        <sz val="10"/>
        <color rgb="FF000000"/>
        <rFont val="Segoe UI"/>
        <family val="2"/>
      </rPr>
      <t>gran escala</t>
    </r>
    <r>
      <rPr>
        <sz val="10"/>
        <color rgb="FF000000"/>
        <rFont val="Segoe UI"/>
        <family val="2"/>
      </rPr>
      <t xml:space="preserve"> con declaración y liquidación de regalías desde el año 2024 hasta la fecha. </t>
    </r>
  </si>
  <si>
    <r>
      <rPr>
        <sz val="10"/>
        <color rgb="FF000000"/>
        <rFont val="Segoe UI"/>
        <family val="2"/>
      </rPr>
      <t>En el libro de Recaudo 2019-2026:
* Se registran 6 expedientes que presentan declaración de produccion y liquidación de regalias para mineral de Cromo para el periodo 2024 a 2026. De los cuales se identifican 4 expedientes y se distribuyen asi,</t>
    </r>
    <r>
      <rPr>
        <sz val="10"/>
        <color rgb="FFFF0000"/>
        <rFont val="Segoe UI"/>
        <family val="2"/>
      </rPr>
      <t xml:space="preserve"> </t>
    </r>
    <r>
      <rPr>
        <sz val="10"/>
        <color rgb="FF000000"/>
        <rFont val="Segoe UI"/>
        <family val="2"/>
      </rPr>
      <t>que respecto de los que tienen el mineral concesionado existe 1 titulo minero de pequeña minería; asi mismo realizada la busqueda de los expedientes en AnnA Minería que no cuentan con el mineral concesionado se tiene: 1 titulo minero de pequeña minería,</t>
    </r>
    <r>
      <rPr>
        <sz val="10"/>
        <color rgb="FFFF0000"/>
        <rFont val="Segoe UI"/>
        <family val="2"/>
      </rPr>
      <t xml:space="preserve"> </t>
    </r>
    <r>
      <rPr>
        <sz val="10"/>
        <color rgb="FF000000"/>
        <rFont val="Segoe UI"/>
        <family val="2"/>
      </rPr>
      <t>1 título minero de mediana minería</t>
    </r>
    <r>
      <rPr>
        <sz val="10"/>
        <color rgb="FFFF0000"/>
        <rFont val="Segoe UI"/>
        <family val="2"/>
      </rPr>
      <t>.</t>
    </r>
    <r>
      <rPr>
        <sz val="10"/>
        <color rgb="FF000000"/>
        <rFont val="Segoe UI"/>
        <family val="2"/>
      </rPr>
      <t xml:space="preserve"> Asi mismo se evidencia 1 expediente sin clasificación aportando al recaudo de regalias que está en proceso de evaluación bajo la modalidad de solicitud de legalización y cuenta con el mineral de cromo como mineral activo.
En Anna Minería:
* De los 13 titulos mineros con el mineral concesionado, se registra 1 expediente de pequeña minería como explotadores mineros autorizados con reporte de regalías para los años 2024 2026.
</t>
    </r>
  </si>
  <si>
    <t>SIGM - AnnA Minería / Sistema de Gestión Documental</t>
  </si>
  <si>
    <t>A pesar de contar con tres títulos mineros vigentes y activos en etapa contractual de explotación para este mineral, no se evidencian registros de los formularios para la declaración de producción y liquidación de regalías.
Se precisa que se utilizó para el rastreo de la información los minerales relaciónados para la homologación Itrio, Escandio, Lantanidos.
En el libro de recaudo 2019-2026
* Se evidencia un declarante de producción y liquidacion de regalias por arenas negras para el periodo 2024-2026, con el nombre registrado en la razón social se realiza la busqueda de AGREGADOS LA PUNTA LTDA y se obtienen resultados de 1 licencia de exploración sin clasificación en estado terminado, con minerales de tierras raras como mineral concesionado. Asi mismo  titular minero registra otros dos titulos mineros 1 de pequeña mineria y otro de mediana minería para explotación de Arenas y Gravas.
En AnnA Minería:
Expedientes con minerales de tierras raras concesionados
1. IET-1120, presenta anotación por CADUCIDAD con fecha del 12/MAY/2023 mediante resolución  VSC 000204 del 25/03/2022, con fecha de ejecutoria del 13/FEB/2023. Así mismo se evidencia anotación por REACTIVAR TÍTULO con fecha del 08/ABR/2026 mediante resolución VSC-002831 del 27/10/2025 con fecha de ejecutoria del 22/ENE/2026.
2. ICU-14541 presenta anotación por CADUCIDAD con fecha del 16/MAR/2022 mediante resolución  VSC-000232 del 18/02/2021, con fecha de ejecutoria del 01/SEP/2021. Así mismo se evidencia anotación por REACTIVAR TÍTULO con fecha del 03/JUL/2024 mediante resolución VSC-000277 del 02/06/2023 con fecha de ejecutoria del 04/JUL/2023.
3. HC7-112, presenta anotación por CADUCIDAD con fecha del 03/SEP/2020 mediante resolución  VSC 000302 DEL 16/04/2019, con fecha de ejecutoria del 20/FEB/2020. Así mismo se evidencia anotación por REVOCATORIA DE ACTOS ADMINISTRATIVOS con fecha del 09/SEP/2024 mediante resolución VSC-001398 del 23/12/2021 y mediante  VSC-000049 del 10/03/2023 con fecha de ejecutoria del 15/MAR/2023.</t>
  </si>
  <si>
    <t>Se identifican titulos mineros con declaracion de producción y liquidacion de regalias ej. Expediente 113-94M (Boyacá), reportes año 2026
La explotación de mieral de esmeralda en títulos mineros activos (corte al 28/06/2026) representa el 4,44 % de la concesión total en etapa contractual de explotación en el país.
En el libro de Recaudo 2019-2026:
* Se registra al menos 1 titulo minero de gran minería que presenta declaración de produccion y liquidación de regalias para mineral de esmeralda para el periodo 2024 a 2026. 
En Anna Minería:
* De los 235 titulos mineros reportados en AnnA mineria, 1 expediente con el mineral concesionado está clasificado como gran minería.</t>
  </si>
  <si>
    <t xml:space="preserve">Se identifican titulos mineros con declaracion de producción y liquidacion de regalias ej. Expediente LFH-14431X (Vichada), reportes año 2026
En el libro de Recaudo 2019-2026:
* Se registran 11 expedientes que presentan declaración de produccion y liquidación de regalias para mineral de estaño para el periodo 2024 a 2026. De los cuales se identifican 5 expedientes y se distribuyen asi; que respecto de los que tienen el mineral concesionado existe 1 titulo minero de pequeña minería; asi mismo realizada la busqueda de los expedientes en AnnA Minería que no cuentan con el mineral concesionado se tiene: 1 título minero de mediana minería. De igual forma se evidencian 3 expedientes sin clasificación aportando al recaudo de regalias, 2 están en proceso de evaluación bajo la modalidad de solicitud de legalización y cuentan con el mineral de estaño como mineral activo mietras que el tercero de ellos en proceso de evaluacion para un ARE, no cuenta con clasificación y no cuenta con el mineral de estaño como mineral de interés.
En Anna Minería:
* De los 10 titulos mineros con el mineral concesionado, se registra 1 expediente de pequeña minería como explotadores mineros autorizados con reporte de regalías para los años 2024 2026.
</t>
  </si>
  <si>
    <t xml:space="preserve">
En el libro de Recaudo 2019-2026:
* Se registra 1 titulo minero de pequeña minería que presenta declaración de produccion y liquidación de regalias para mineral de feldespato, pero una vez verificado en la prataforma AnnA Mineria, se evidencia que el feldespato no se encuentra concesionado como mineral activo.
En Anna Minería:
* Se registran 10 titulos mineros con el mineral concesionado, y se distribuyen asi: 2 de pequeña mineria y 1 de mediana mineria con registros de produccion diligenciamiento de formulacion para declaración de producción pero sin el registro de liquidación por esas regalias en el libro de recaudo. Así mismo se evidencian expedientes de titulos mineros sin información de declaración de producción 3 titulos mineros de pequeña minería, 3 títulos mineros de mediana minería.
Adicionalmente se registran expedientes que declaran producción pero no se incluyen feldespatos así; 1 titulo minero de pequeña minería</t>
  </si>
  <si>
    <t>En el libro de recaudo 2019-2026, no se evidencian ingresos de contraprestacion economica por declaración de producción y liquidacion de regalias para este mineral.
En AnnA Minería con corte al 09 de julio de 2026, extisten tres titulos mineros que cuentan con el mineral concesionado, clasificados como 2 titulos mineros de pequeña minería y 1 titulo minero de mediana minería, Asi mismo una vez verificado el Sistema de Gestion Documental de los expedientes con el mineral concesionado no se evidencia la presentación histórica de los formularios de declaración de producción y liquidacion de regalias para mineral de Fluorita.</t>
  </si>
  <si>
    <t xml:space="preserve">Se identifican titulos mineros con declaracion de producción y liquidacion de regalias ej. Expediente DEU-161 (Boyacá) reporte del I trimestre 2024. oficio bajo radicado No. 20241003094552 del 24/04/2024
En el libro de Recaudo 2019-2026:
* Se registran 6 expedientes que presentan declaración de produccion y liquidación de regalias para mineral de grafito para el periodo 2024 a 2026. Realizada la busqueda de los expedientes  de titulos mineros en AnnA Minería que no cuentan con el mineral concesionado se tiene: 1 titulo minero de pequeña mineria.
Adicionalmente se evidencian 2 solicitudes de legalización de pequeña minería en estado archivado por rechazo, 1 solicitud de contrato de concesión especial ARE sin clasificación, 1 expediente sin clasificación y 1 expedientes de pequeña minería aportando al recaudo de regalias que están en proceso de evaluación bajo la modalidad de solicitud de legalización y cuentan con el mineral de grafito como mineral activo.
En Anna Minería:
* De los 10 titulos mineros con el mineral concesionado, se registra 1 expediente de mediana minería como explotadores mineros autorizados con reporte de regalías para los años 2024 2026. De los demás caracterizados como 5 titulos mineros de pequeña minería y 4 titulos mineros de mediana minería no se evidencia información
</t>
  </si>
  <si>
    <t>SIGM - AnnA Minería / SGD</t>
  </si>
  <si>
    <r>
      <rPr>
        <sz val="10"/>
        <color rgb="FF000000"/>
        <rFont val="Segoe UI"/>
        <family val="2"/>
      </rPr>
      <t xml:space="preserve">Se identifican titulos mineros con declaracion de producción y liquidacion de regalias ej. Expediente 19734 (Cauca) y 006-85M (Boyacá)
En el libro de Recaudo 2019-2026:
* Se registran 14 expedientes que presentan declaración de produccion y liquidación de regalias para mineral de hierro para el periodo 2024 a 2026. Realizada la busqueda de los expedientes  de titulos mineros en AnnA Minería que cuentan con el mineral concesionado se tiene: 1 titulo minero de pequeña mineria, 4 titulos mineros de mediana minería.
Adicionalmente se evidencia 1 solicitud de contrato especial de concesion sin clasificación ARE, 2 expedientes de pequeña minería y 2 expedientes sin clasificación aportando al recaudo de regalias que están en proceso de evaluación bajo la modalidad de solicitud de legalización y cuentan con el mineral de hierro como mineral activo; asi mismo se evidencian titulos mineros reportando mineral de hierro para el recaudo de regalias no obstante en AnnA Minería no tienen concesionado el mineral dentro de ellos se tiene 2 titulos mineros de pequeña mineria, 2 titulos mineros de mediana minería
</t>
    </r>
    <r>
      <rPr>
        <sz val="10"/>
        <color rgb="FFFF0000"/>
        <rFont val="Segoe UI"/>
        <family val="2"/>
      </rPr>
      <t xml:space="preserve">
</t>
    </r>
    <r>
      <rPr>
        <sz val="10"/>
        <color rgb="FF000000"/>
        <rFont val="Segoe UI"/>
        <family val="2"/>
      </rPr>
      <t xml:space="preserve">En Anna Minería:
* De los 40 titulos mineros con el mineral concesionado, se registran 2 expedientes de gran minería de cuales se evidencia el diligenciamiento de los formularios para la declaración de producción y liquidacion de regalias con producción en ceros, 22 titulos  mineros de mediana minería de los cuales almenos 4 se encuentran en el listado de recaudo 2019-2026, reportando regalias para el periodo 2024-2026.
</t>
    </r>
  </si>
  <si>
    <t>En el libro de Recaudo 2019-2026:
No se evidencian registros de recaudo por contraprestación economica causada por liquidación de regalías.
En AnnA Minería A pesar de contar con tres títulos mineros vigentes y activos en etapa contractual de explotación para este mineral, no se evidencian registros de los formularios para la declaración de produccion y liquidación de regalías.</t>
  </si>
  <si>
    <t>Se identifican titulos mineros con declaracion de producción y liquidacion de regalias ej. Expediente 1836 (Valle del Cauca); se diligenció el formulario para la declaracion de producción y liquidación de regalias correspondiente al I trimestre de 2026 mediante evento No. 918023 del 27 de mayo de 2026 para mineral de magnesita.
En el libro de Recaudo 2019-2026:
* Se evidencian 7 expedientes con declaracion de producción y liquidación de regalías para el periodo 2024-2026: de los que cuentan con magnesita como mineral activo se tiene: 1 titulo minero de pequeña minería, 1 solicitud de legalización en estado archivada, 1 solicitud de legalización en proceso de evaluación. Así mismo se describen los expedientes que aportan al recaudo pero no tienen el mineral como activo dentro de ellos 1 solicitud de contrato especial de concesion bajo modalidad de ARE en proceso de evaluación, 2 titulos mineros de mediana minería, 1 solicitud de legalizacion en proceso de evaluación sin clasificar.
En AnnA Minería
* Se evidencian 4 titulos mineros de mediana minería y 7 titulos mineros de pequeña minería de los cuales solamente uno reporta producción y presenta liquidación de regalias.</t>
  </si>
  <si>
    <t>Si bien se puntua con 80, de los 18 titulos con el mineral concesionado, 6 se centran exclusivamente en minerales de manganeso, dentro de ello se evidencia la declaracion de producción y liquidacion de regalias expediente HIBJ-43, reportes año 2025.
En el libro de Recaudo 2019-2026:
* Se evidencian 9 expedientes con declaracion de producción y liquidación de regalías para el periodo 2024-2026: de los que cuentan con manganeso como mineral activo se tiene: 2 titulos mineros de pequeña minería, 1 solicitud de legalización en estado archivada, 1 solicitud de legalización en proceso de evaluación sin clasificar. Así mismo se describen los expedientes que aportan al recaudo pero no tienen el mineral como activo dentro de ellos, 1 titulo minero de pequeña minería, 2 titulos mineros de mediana minería, 1 solicitudes de legalizacion en proceso de evaluación sin clasificar.
En AnnA Minería
* Se evidencian 7 titulos mineros de mediana minería y 11 titulos mineros de pequeña minería de los cuales solamente dos reportan producción y están vinculados en el libro de recaudo  de regalias.</t>
  </si>
  <si>
    <t>La explotación de materiales de construcción en títulos mineros activos (corte al 28/06/2026) representa el 42,64 % de la concesión total en etapa contractual de explotación en el país.
En el libro de Recaudo 2019-2026:
* Se registra al menos 1 titulo minero de gran minería que presenta declaración de produccion y liquidación de regalias para mineral de gravas para el periodo 2024 a 2026. 
En Anna Minería:
* De los 2255 titulos mineros reportados en AnnA mineriapara la explotación de materiales de construcción, 16 expedientes con el mineral concesionado están clasificados como gran minería, 783 como mediana minería ,1287 de pequeña minería y 90 no aplica clasificacion de escala.</t>
  </si>
  <si>
    <t>Metales del Grupo del Platino (EGP)</t>
  </si>
  <si>
    <r>
      <rPr>
        <sz val="10"/>
        <color rgb="FF000000"/>
        <rFont val="Segoe UI"/>
        <family val="2"/>
      </rPr>
      <t xml:space="preserve">Se identifican titulos mineros con declaracion de producción y liquidacion de regalias ej. Expediente HGSI-02 jurisdicción del municipio de Mutata (Antioquia), mediante AnnA minería evento No. 886137 se diligenció el formulario para la declaración de producción y liquidacion de regalias correspondiente al  mes 12 del IV trimestre de 2025.
En el libro de Recaudo 2019-2026:
* Se evidencian 10 expedientes con declaracion de producción y liquidación de regalías para el periodo 2024-2026: de los que cuentan con platino como mineral activo se tiene: 1 titulo minero de pequeña minería, 3 titulos mineros de mediana minería, 1 solicitud de ARE declarada clasificada como pequeña minería en proceso de evaluación en proceso de evaluación, 1 solicitud de ARE declarada sin información, 3 solicitudes de legalización en proceso de evaluación sin clasificar. 
Asi mismo se evidencian 11 declarantes en donde la información de recaudo (Nombre/NIT) no permite realizar una busqueda profunda para identificar cada uno de los expedientes a los cuales están aportando contraprestaciones economicas por regalías.
</t>
    </r>
    <r>
      <rPr>
        <sz val="10"/>
        <color rgb="FFFF0000"/>
        <rFont val="Segoe UI"/>
        <family val="2"/>
      </rPr>
      <t xml:space="preserve">
</t>
    </r>
    <r>
      <rPr>
        <sz val="10"/>
        <color rgb="FF000000"/>
        <rFont val="Segoe UI"/>
        <family val="2"/>
      </rPr>
      <t>En AnnA Minería
*</t>
    </r>
    <r>
      <rPr>
        <sz val="10"/>
        <color rgb="FFFF0000"/>
        <rFont val="Segoe UI"/>
        <family val="2"/>
      </rPr>
      <t xml:space="preserve"> </t>
    </r>
    <r>
      <rPr>
        <sz val="10"/>
        <color rgb="FF000000"/>
        <rFont val="Segoe UI"/>
        <family val="2"/>
      </rPr>
      <t>Se evidencian 233 de los cuales 15 titulos mineros son de gran minería, 123 titulos mineros de mediana minería, 75 titulos mineros de pequeña minería, 6 titulos mineros que no aplica la clasificación y 14 sin clasificación de escala, de los cuales solamente 3 de mediana minería que reportan producción están vinculados en el libro de recaudo de regalias.</t>
    </r>
  </si>
  <si>
    <t>Se identifican titulos mineros con declaracion de producción y liquidacion de regalias ej. Expediente LFH-14431X (Vichada)
En el libro de Recaudo 2019-2026:
* Se registra al menos 2 expedientes aportando al recaudo de regalias para mineral de molibdeno para el periodo 2024 a 2026, asi: se evidencia  1 titulo minero de pequeña minería que no cuenta con el mineral de molibdeno como mineral activo, el otro expediente no es posible identificarlo con los datos del libro.
En Anna Minería:
* De los 88 titulos mineros reportados en AnnA mineria para la explotación de mineral de molibdeno 6 expedientes con el mineral concesionado están clasificados como gran minería, 63 como mediana minería, 18 de pequeña minería y 1 no aplica clasificacion de escala. Ninguno de estos reporta información en el libro de recaudo para el periodo 2024-2026.</t>
  </si>
  <si>
    <t>Se evidencia declaración de regalias para mineral de tantalio, mediante evento No. 857523 del 28 de enero de 2026, mediante el diligenciamiento del formulario para la declaración de producción y liquidación de regalias correspondiente al IV trimestre de 2025 dentro del expediente No. OEA-16011, localizado en jurisdicción del municipio de Albania departamento de Caquetá.
En el libro de Recaudo 2019-2026:
* Se registra al menos 4 expedientes aportando al recaudo de regalias para mineral de niobio-tantalio para el periodo 2024 a 2026, se registra información de 3 expedientes identificados: de los que tienen el mineral niobio-tantalio concesionado y/o como mineral de interes: 1 titulo minero de pequeña minería, 1 solicitud de legalización sin clasificar en proceso de evaluación y 1 solicitud de legalización sin clasificar en estado archivada.
En Anna Minería:
* De los 24 titulos mineros reportados en AnnA mineria para la explotación de mineral de niobio-tantalio 17 como mediana minería y 7 de pequeña minería, de estos un titulo minero de pequeña minería reporta información en el libro de recaudo para el periodo 2024-2026.</t>
  </si>
  <si>
    <t>Se identifican titulos mineros con declaracion de producción y liquidacion de regalias ej. Expediente del contrato en virtud de aporte L853005 (Cordobá y Antioquia), mediante evento No. 897037del 16 de abril de 2026 se diligenció el formulario para la declaración de producción y liquidacion de regalias correspondiente al I trimestre de 2026. 
En el libro de Recaudo 2019-2026:
* Se registra al menos 4 expedientes aportando al recaudo de regalias para mineral de niquel para el periodo 2024 a 2026, se registra información de 3 expedientes identificados: de los que tienen el mineral niquel concesionado y/o como mineral de interes: 1 titulo minero de gran minería, 1 solicitud de legalización sin clasificar en proceso de evaluación y 1 titulo minero de pequeña mineria que no tiene el mineral de niquel concesionado
En Anna Minería:
* De los 22 titulos mineros reportados en AnnA mineria para la explotación de mineral de niquel 4 como gran minería, 8 mediana minería y 10 de pequeña minería, se reporta al menos 1 titulo de gran minería reportando regalías en el libro de recaudo.</t>
  </si>
  <si>
    <t xml:space="preserve">La explotación de mieral de oro en títulos mineros activos (corte al 28/06/2026) representa el 21,56 % de la concesión total en etapa contractual de explotación en el país.
En el libro de Recaudo 2019-2026:
* Se registra al menos 1 titulo minero de gran minería que presenta declaración de produccion y liquidación de regalias para mineral de oro (ICQ-081319X) para el periodo 2024 a 2026. 
En Anna Minería:
* De los 1140 titulos mineros reportados en AnnA mineria para la explotación de mineral de oro, 26 expedientes con el mineral concesionado están clasificados como gran minería, 415 como mediana minería, 623 de pequeña minería, 18 no aplica clasificacion de escala y 58 expedientes sin clasificación. 
</t>
  </si>
  <si>
    <t xml:space="preserve">Se identifican titulos mineros con declaración de producción y liquidación de regalias ej. Expediente 19141 (Cauca), reportes año 2025
La explotación de mieral de plata en títulos mineros activos (corte al 28/06/2026) representa el 7,62 % de la concesión total en etapa contractual de explotación en el país.
En el libro de Recaudo 2019-2026:
* Se registra al menos 5 titulos mineros de mediana minería que presentan declaración de produccion y liquidación de regalias respecto del mineral de plata para el periodo 2024 a 2026. 
En Anna Minería:
* De los 403 titulos mineros reportados en AnnA mineria para la explotación de mineral de plata, 11 expedientes con el mineral concesionado están clasificados como gran minería, 169 como mediana minería, 207 de pequeña minería, 6 no aplica clasificacion de escala y 10 expedientes sin clasificación. 
</t>
  </si>
  <si>
    <t>Se evidencia declaración de regalias para mineral de plomo, mediante evento No. 858776 del 30 de enero de 2026, mediante el diligenciamiento del Formato Basico Minero de 2025 dentro del expediente del Reconocimiento a la Propiedad Privada RPP No. R140011, localizado en jurisdiccion del municipio de Segovia departamento de Antioquia.
En el libro de Recaudo 2019-2026:
* Se registra al menos 5 expedientes aportando al recaudo de regalias para mineral de plomo para el periodo 2024 a 2026, así de los que tienen el mineral niquel concesionado y/o como mineral de interes se evidencia: 1 solicitud de legalización sin clasificar en estado archivada, así mismo se registran los titulos mineros que no cuentan con el mineral concesionado y/o de interes pero aportan para el recaudo segun el libro 2019-2016: 2 titulos mineros de mediana minería, 1 solicitud de ARE declarada sin clasificar en proceso de evaluación y 1 Reconocimiento a la Propiedad Privada.
En Anna Minería:
* De los 68 titulos mineros reportados en AnnA mineria para la explotación de mineral de plomo 5 como gran minería, 45 mediana minería, 17 de pequeña minería y 1 titulo al cual no aplica la clasificación de escala. De la información que reposa no se evidencian titulos mineros con el mineral concesionado relacionados en el libro de recaudo.</t>
  </si>
  <si>
    <t>Se reporta una exploración histórica de potasio La Mesa de los Santos, departamento de Santander, en documento clasificado del SGC. 
A pesar de contar con tres títulos mineros vigentes y activos en etapa contractual de explotación para este mineral, no se evidencian registros de los formularios para la declaración de producción y liquidación de regalías.
En el libro de Recaudo 2019-2026:
No se evidencian registros de recaudo por contraprestación economica causada por liquidación de regalías.
En AnnA Minería
A pesar de contar con tres títulos mineros vigentes y activos en etapa contractual de explotación (2 pequeña minería y 1 mediana minería) para este mineral, no se evidencian registros de los formularios para la declaración de produccion y liquidación de regalías.</t>
  </si>
  <si>
    <t>Documento clasificado SGC
SIGM - AnnA Minería</t>
  </si>
  <si>
    <t>Se identifican titulos mineros con declaracion de producción y liquidacion de regalias ej. Expediente 1056-15 (Boyacá) y 10015 (Huila) reportes 2026.
En el libro de Recaudo 2019-2026:
* Se registra al menos 1 expediente aportando al recaudo de regalias para mineral de roca fosfórica para el periodo 2024 a 2026, no obstante no se logra identificar la placa del titulo minero para generar una descripción acertada (EMPRESA DE FOSFATOS DE NTE DE SANT)
En Anna Minería:
* De los 42 titulos mineros reportados en AnnA mineria para la explotación de roca fosforica, 9 mediana minería, 30 de pequeña minería y 2 titulos a los cuales no aplica la clasificación de escala. De la información que reposa en AnnA Mineria no se evidencian titulos mineros relacionados en el libro de recaudo. No obstante se evidencian discrepancias, refenciadas a que al menos 3 titulos mineros de mediana minería que presentan declaraciones con producción para liquidación de regalias, que a su vez han allegado los comprobantes de pago y han sido objeto de evaluacion y aprobación por parte de los grupos de VSCS</t>
  </si>
  <si>
    <t xml:space="preserve">Si bien se identifican 3 titulos mineros para los cuales se concesionó el mineral de sodio no se evidencian reportes de producción, no obstante; una vez revisada la base de homologación de minerales se evidencian titulos mineros con el mineral de sal gema para los cuales se evidencia declaracion de producción y liquidacion de regalias ej. explotación de Sal Gema en expediente  DID-082.
En el libro de Recaudo 2019-2026:
* Se registra al menos 2 expedientes que presentan declaración de produccion y liquidación de regalias para el periodo 2024 a 2026 así:  1 solicitud de ARE declarada de mediana minería con mineral sal gema de interes, y 1 titulo minero de mediana mineria que aporta a regalias (pero su mineral concesionado es roca fosforica)
En Anna Minería:
* De los 9 titulos mineros reportados en AnnA mineria, 6 expedientes con el mineral concesionado están clasificados como mediana minería, 3 de pequeña minería.
 Discrepancia ejemplo la explotación de Sal Gema en expediente  DID-082 a pesar de evidenciar el formulario de la declaración de produccion y liquidación de regalias (evento No. 768332) no se evidencia información de recaudo
</t>
  </si>
  <si>
    <t>Se evidencia declaración de regalias para mineral de titanio, mediante oficio con radicado No. 20261004564202 del 21 de abril de 2026, presentación del formulario para la declaración de producción y liquidación de regalias correspondiente al III trimestre de 2025 dentro del expediente de la solicitud de legalización No. OAA-08491, localizado en jurisdicción del municipio de Barrancas departamento de La Guajira.
En el libro de Recaudo 2019-2026:
* Se registra al menos 8 expedientes que presentan declaración de produccion y liquidación de regalias para el periodo 2024 a 2026 así: respecto de los expedientes que tienen el mineral concesionado o como mineral activo: 1 solicitud de legalizacion sin clasificar en estado archivada, 2 solicitudes de legalizacion sin clasificar en proceso de evaluación, respecto de los expedientes que no tienen el mineral concesionado o como mineral activo están 3 titulos mineros de mediana minería, 1 solicitud de ARE declarada sin clasificar en proceso de evaluación, 1 solicitud de legalizacion sin clasificar en proceso de evaluación
En Anna Minería:
* De los 12 titulos mineros reportados en AnnA mineria, 7 expedientes con el mineral concesionado están clasificados como mediana minería, 5 de pequeña minería y ninguno se encuentra vinculado en el libro de recaudo de regalías.</t>
  </si>
  <si>
    <t>SIGM - AnnA Minería / Sistema de Gestiòn Documental</t>
  </si>
  <si>
    <t>A pesar de contar con tres títulos mineros vigentes y activos en etapa contractual de explotación para este mineral, no se evidencian registros de los formularios para la declaración de producción y liquidación de regalías.
En el libro de Recaudo 2019-2026:
No se evidencian registros de recaudo por contraprestación economica causada por liquidación de regalías.
En AnnA Minería
A pesar de contar con tres títulos mineros vigentes y activos en etapa contractual de explotación (2 pequeña minería y 1 mediana minería) para este mineral, no se evidencian registros de los formularios para la declaración de produccion y liquidación de regalías.</t>
  </si>
  <si>
    <r>
      <rPr>
        <sz val="10"/>
        <color rgb="FF000000"/>
        <rFont val="Segoe UI"/>
        <family val="2"/>
      </rPr>
      <t xml:space="preserve">Respecto de los </t>
    </r>
    <r>
      <rPr>
        <sz val="11"/>
        <color rgb="FF000000"/>
        <rFont val="Aptos Narrow"/>
        <family val="2"/>
        <scheme val="minor"/>
      </rPr>
      <t>minerales de wolframio, aunque existen contratos vigentes en etapa contractual de explotación, no se evidencian declaraciones de producción y declaración de liquidaciones de regalías.
En el libro de Recaudo 2019-2026:
* Se registra al menos 2 expedientes que presentan declaración de produccion y liquidación de regalias para el periodo 2024 a 2026 así:  1 solicitud de legalización sin clasificar en proceso de evaluación con el mineral de wolframio activo y un declarante sin titulo minero o solicitud vigente, que una vez buscada información en el SGD se evidencia en la trazabilidad su actuación en calidad de comercializador bajo el NIT 830048328.
En Anna Minería:
* De los 10 titulos mineros reportados en AnnA mineria, 5 expedientes con el mineral concesionado están clasificados como mediana minería, 5 de pequeña minería. Ninguno se encuentra vinculado en el libro de recaudo de regalías.</t>
    </r>
  </si>
  <si>
    <t>Se evidencia declaración de regalias para mineral de yeso, mediante evento No. 921647 del 03 de junio de 2026, mediante el diligenciamiento del formulario para la declaración de producción y liquidación de regalias correspondiente al IV trimestre de 2025 dentro del expediente del contrato de concesión 2491, localizado en jurisdiccion del municipio de Los Santos departamento de Santander.
En el libro de Recaudo 2019-2026:
* Se registran al menos 1 titulo de gran mineria y 3 titulos mineros  de mediana mineria que presentan declaración de produccion y liquidación de regalias para el periodo 2024 a 2026
En Anna Minería:
* De los 27 titulos mineros reportados en AnnA mineria, 2 son de gran minería y al menos 1 titulo minero de gran mineria presenta declaración de produccion y se encuentra vinculado en el libro de declaración de recaudo de regalías 2019-2026.</t>
  </si>
  <si>
    <t>En el libro de recaudo 2019-2026, no se evidencian ingresos de contraprestacion economica por declaración de producción y liquidacion de regalias para este mineral.
En AnnA Minería con corte al 09 de julio de 2026, no existen titulos mineros en estapa de explotación y activos con el mineral concesionado,</t>
  </si>
  <si>
    <t>-</t>
  </si>
  <si>
    <t>Se evidencia declaración de regalias para mineral de zinc, mediante evento No. 858776 del 30 de enero de 2026, mediante el diligenciamiento del Formato Basico minero de 2025 dentro del expediente del Reconocimiento a la Propiedad Privada RPP No. R140011, localizado en jurisdiccion del municipio de Segovia departamento de Antioquia.
En el libro de Recaudo 2019-2026:
* Se registra al menos 8 expedientes que presentan declaración de produccion y liquidación de regalias para el periodo 2024 a 2026 así: respecto de los titulos mineros o expedientes que tienen el mineral de zinc concesionado o como mineral activo: 1 solicitud de legalización sin clasificar en proceso de evaluación y 1 solicitud de legalizacion sin clasificar en estado archivada, respecto de los titulos mineros o expedientes que no tienen el mineral de zinc concesionado:  3 titulos mineros de mediana minería, 1 solicitud de ARE declarada sin clasificar en proceso de evaluación, 1 Registro a la propiedad Privada RPP sin clasificar y 1 declarante sin titulo minero o solicitud vigente, que una vez buscada información en el SGD se evidencia en la trazabilidad su actuación en calidad de comercializador bajo el NIT 830048328.
Se registra 1 histórico P7495011 titulo minero de mediana minería
En Anna Minería:
* De los 121 titulos mineros reportados en AnnA mineria, 7 expedientes con el mineral concesionado están clasificados como gran minería, 78 de mediana minería, 34 de pequeña minería, 2 titulos mineros a los cuales no aplica clasificación de escala. Ninguno se encuentra vinculado en el libro de recaudo de regalías para el periodo 2024-2026</t>
  </si>
  <si>
    <t>No</t>
  </si>
  <si>
    <t>Calificación Criterio 4. Potencial Geológico Minero</t>
  </si>
  <si>
    <t>V1 (60%)</t>
  </si>
  <si>
    <t>V2 (40%)</t>
  </si>
  <si>
    <t>Calificación Total del Criterio</t>
  </si>
  <si>
    <t>Evaluación Criterio Inserción en mercado mundial: demanda global y ventaja comparativa regional</t>
  </si>
  <si>
    <t>Etiquetas de fila</t>
  </si>
  <si>
    <t>Promedio importaciones del mundo entre 2021-2025</t>
  </si>
  <si>
    <t>Participación del mineral dentro de las canasta de los 35 minerales en el mundo</t>
  </si>
  <si>
    <t>P</t>
  </si>
  <si>
    <t>Factor de crecimiento anual 2021 a 2025 de las importaciones</t>
  </si>
  <si>
    <t>F</t>
  </si>
  <si>
    <t>PD (Prioridad de Demanda) P +F</t>
  </si>
  <si>
    <t>Total X de AL 2021 - 2025</t>
  </si>
  <si>
    <t>Participación del mineral dentro de las canasta de los 35 minerales en AL</t>
  </si>
  <si>
    <t>Total X mundo 2021-2025</t>
  </si>
  <si>
    <t>Participación America Latina (PAL)</t>
  </si>
  <si>
    <t>Indice Balassa ajustado para AL (IBa-AL)</t>
  </si>
  <si>
    <t>Ventaja Comparativa (VC)</t>
  </si>
  <si>
    <t>VCR (Ventaja Comparativa Revelada)  PAL + VRC</t>
  </si>
  <si>
    <t xml:space="preserve">Puntaje final </t>
  </si>
  <si>
    <t>Elementos de tierras raras (ETR)</t>
  </si>
  <si>
    <t>Materiales de construcción</t>
  </si>
  <si>
    <t>Sumatoria</t>
  </si>
  <si>
    <t>Percentil Participación Relativa (P)</t>
  </si>
  <si>
    <t>Rango Participación (PAL)</t>
  </si>
  <si>
    <t xml:space="preserve">Rango </t>
  </si>
  <si>
    <t>INC — aplicado</t>
  </si>
  <si>
    <t>P &gt; 1,90%</t>
  </si>
  <si>
    <t>PAL &gt; 2,13%</t>
  </si>
  <si>
    <t>0,52% &lt; P &lt;= 1,90%</t>
  </si>
  <si>
    <t>0,28%  &lt; PAL &lt;= 2,13%</t>
  </si>
  <si>
    <t>0,30% &lt; P &lt;= 0,52%</t>
  </si>
  <si>
    <t>0,05%  &lt; PAL &lt;= 0,28%</t>
  </si>
  <si>
    <t>0,09% &lt; P &lt;= 0,30%</t>
  </si>
  <si>
    <t>0,01%  &lt; PAL &lt;= 0,05%</t>
  </si>
  <si>
    <t>P &lt; = 0,087%</t>
  </si>
  <si>
    <t>PAL &lt;= 0,01%</t>
  </si>
  <si>
    <r>
      <t>Rango Factor de Crecimiento (F)</t>
    </r>
    <r>
      <rPr>
        <b/>
        <sz val="11"/>
        <rFont val="Times New Roman"/>
        <family val="1"/>
      </rPr>
      <t> </t>
    </r>
  </si>
  <si>
    <t>Rango Factor de Crecimiento (VCR )</t>
  </si>
  <si>
    <t>F &gt; 1,1079</t>
  </si>
  <si>
    <t>VCR &gt; 1,1100</t>
  </si>
  <si>
    <t>1,0404 &lt; F &lt;= 1,1079</t>
  </si>
  <si>
    <t>0,4905 &lt; VCR &lt;= 1,1100</t>
  </si>
  <si>
    <t>1,0053 &lt; F &lt;= 1,0404</t>
  </si>
  <si>
    <t>0,2212 &lt; VCR &lt;= 0,4905</t>
  </si>
  <si>
    <t>0,9437 &lt; F &lt;= 1,0053</t>
  </si>
  <si>
    <t>0,0741 &lt; VCR &lt;= 0,2212</t>
  </si>
  <si>
    <t>F &lt; 0,9437</t>
  </si>
  <si>
    <t>VCR &lt;= 0,0741</t>
  </si>
  <si>
    <t xml:space="preserve">Evaluación Criterio 6. Seguridad y soberanía nacional </t>
  </si>
  <si>
    <r>
      <rPr>
        <b/>
        <i/>
        <sz val="10"/>
        <color rgb="FF000000"/>
        <rFont val="Calibri"/>
      </rPr>
      <t>Regla de calificación</t>
    </r>
    <r>
      <rPr>
        <i/>
        <sz val="10"/>
        <color rgb="FF000000"/>
        <rFont val="Calibri"/>
      </rPr>
      <t>: 100 puntos cuando existe evidencia de incautaciones reportadas por entidades adscritas al Ministerio de Defensa (Dirección Nacional de Inteligencia, Policía Nacional o Ejército Nacional) en el período 2021-2026; 50 puntos cuando existe evidencia a través de notas de prensa de medios de comunicación reconocidos o informes de organismos multilaterales; 0 puntos cuando no existe evidencia.</t>
    </r>
  </si>
  <si>
    <t>Calificación (0-100)</t>
  </si>
  <si>
    <t>Justificación</t>
  </si>
  <si>
    <t>Razón breve</t>
  </si>
  <si>
    <t>No se identifica evidencia de incautaciones reportadas  entre 2021-2026</t>
  </si>
  <si>
    <t xml:space="preserve">Sin evidencia de explotación ilícita reportada </t>
  </si>
  <si>
    <t>Se evidencia comercilización y/o explotación ilicita de minerales a través de notas de prensa de medios reconocidos, o informes elaborados por organismos multilaterlaes</t>
  </si>
  <si>
    <t>Evidencia de explotación ilicita notas de prensa de medios de comunicación o informes de organismos multilaterales</t>
  </si>
  <si>
    <t>Hay evidencia de incautaciones de tierras raras (en arenas aluviales y como mineral principal) en las vigencias 2021 y 2024 reportadas por la Dirección Nacional de Inteligencia, y en 2025 (enero-abril) y 2026 (enero-marzo, parcial) reportadas por la Policía Nacional.</t>
  </si>
  <si>
    <t>Hay evidencia de explotación ilícita reportada por entidades del Ministerio de Defensa.</t>
  </si>
  <si>
    <t>Hay evidencia de incautaciones que involucran estaño (lingotes y arenas negras) en las vigencias 2022-2023 y 2024 reportadas por la Dirección Nacional de Inteligencia, y en 2026 (enero-marzo, parcial) reportada por el Ejército Nacional.</t>
  </si>
  <si>
    <t>Hay evidencia de incautaciones de coltán en las vigencias 2021, 2022-2023 y 2024 reportadas por la Dirección Nacional de Inteligencia, y en 2025 (enero-abril) y 2026 (enero-marzo, parcial) reportadas por la Policía Nacional.</t>
  </si>
  <si>
    <t xml:space="preserve">Hay evidencia a traves de Informe de Explotación de Oro de Aluvión 2021 realizado por parte del Ministerio de Minas y Energía. </t>
  </si>
  <si>
    <t>Fuente: Elaboración propia con base en la Tabla 1, Incautaciones de minerales críticos en Colombia (2021-2026), Dirección Nacional de Inteligencia, Policía Nacional y Ejército Nacional.</t>
  </si>
  <si>
    <t xml:space="preserve">Evalución Criterio 7. Determinantes ambientales en el desarrollo minero del país </t>
  </si>
  <si>
    <t>Calificación final indicador Viabilidad ambiental (VA)</t>
  </si>
  <si>
    <t>Mineral de interés económico</t>
  </si>
  <si>
    <t>Viabilidad ambiental</t>
  </si>
  <si>
    <r>
      <t>Rango</t>
    </r>
    <r>
      <rPr>
        <sz val="11"/>
        <color rgb="FF000000"/>
        <rFont val="Verdana"/>
        <family val="2"/>
      </rPr>
      <t> </t>
    </r>
  </si>
  <si>
    <r>
      <t>Clasificación / Descripción</t>
    </r>
    <r>
      <rPr>
        <sz val="11"/>
        <color rgb="FF000000"/>
        <rFont val="Verdana"/>
        <family val="2"/>
      </rPr>
      <t> </t>
    </r>
  </si>
  <si>
    <t>0≤VA≤20 </t>
  </si>
  <si>
    <t>Minerales cuyos depósitos se localizan predominantemente en áreas excluibles, presentando una disponibilidad territorial muy limitada para el desarrollo de actividades mineras. </t>
  </si>
  <si>
    <t>21≤VA≤40 </t>
  </si>
  <si>
    <t>Minerales con una alta incidencia de restricciones ambientales, en los cuales predominan los depósitos ubicados en áreas excluibles o restringidas.  </t>
  </si>
  <si>
    <t>41≤VA≤60 </t>
  </si>
  <si>
    <t>Minerales cuyos depósitos presentan una distribución equilibrada entre áreas restringidas y áreas libres, reflejando una disponibilidad territorial intermedia.  </t>
  </si>
  <si>
    <t>61≤VA≤80 </t>
  </si>
  <si>
    <t>Minerales cuyos depósitos se localizan mayoritariamente en áreas libres o con restricciones manejables, evidenciando condiciones favorables desde la perspectiva ambiental.  </t>
  </si>
  <si>
    <t>81≤VA≤100 </t>
  </si>
  <si>
    <t>Minerales cuyos depósitos se emplazan predominantemente en áreas libres, con una mínima incidencia de determinantes ambientales, representando las condiciones de mayor aptitud territorial para el desarrollo de actividades mineras. </t>
  </si>
  <si>
    <t>Datos base para calificación del indicador Viabilidad ambiental (VA)</t>
  </si>
  <si>
    <t>Minerales de interés económico</t>
  </si>
  <si>
    <t>OBJECTID</t>
  </si>
  <si>
    <t>MINERALES IDENTIFICADOS EN EL MAPA METALOGÉNICO</t>
  </si>
  <si>
    <t>TOTAL</t>
  </si>
  <si>
    <t>En Excluible</t>
  </si>
  <si>
    <t>Area restricción</t>
  </si>
  <si>
    <t>En Libre</t>
  </si>
  <si>
    <t>Proporción excluible</t>
  </si>
  <si>
    <t>Proporcion con restriccion</t>
  </si>
  <si>
    <t>Area libre</t>
  </si>
  <si>
    <t>Viabilidad Ambiental</t>
  </si>
  <si>
    <t xml:space="preserve">Calificación </t>
  </si>
  <si>
    <t>Arcilla Cerámica</t>
  </si>
  <si>
    <t>Media</t>
  </si>
  <si>
    <t>Arcilla Refractaria</t>
  </si>
  <si>
    <t>Muy Alta</t>
  </si>
  <si>
    <t>Bentonita</t>
  </si>
  <si>
    <t>Alta</t>
  </si>
  <si>
    <t>Caliza_industrial</t>
  </si>
  <si>
    <t>Zinc-Zn</t>
  </si>
  <si>
    <t>Dolomita-CaMg(CO3)2 (caliza)</t>
  </si>
  <si>
    <t>Esmeralda_gema</t>
  </si>
  <si>
    <t>Grafito-C</t>
  </si>
  <si>
    <t>Magnesita-MgCO3</t>
  </si>
  <si>
    <t>Mármol</t>
  </si>
  <si>
    <t>Molibdeno-Mo</t>
  </si>
  <si>
    <t>Níquel-Ni</t>
  </si>
  <si>
    <t>Plata-Ag</t>
  </si>
  <si>
    <t>Tantalio-Ta (Coltán)</t>
  </si>
  <si>
    <t>Yeso-CaSO4·2H2O</t>
  </si>
  <si>
    <t>Platino-Pt</t>
  </si>
  <si>
    <t>Arcilla-Al2O3· 2SiO2·H2O</t>
  </si>
  <si>
    <t>Plomo-Pb</t>
  </si>
  <si>
    <t>Fosfato-PO43-</t>
  </si>
  <si>
    <t>Baritina-BaSO4</t>
  </si>
  <si>
    <t>Calizas</t>
  </si>
  <si>
    <t>Gravas</t>
  </si>
  <si>
    <t>Manganeso-Mn</t>
  </si>
  <si>
    <t>Oro-Au</t>
  </si>
  <si>
    <t>Niobio-Nb (Coltán)</t>
  </si>
  <si>
    <t>Baja</t>
  </si>
  <si>
    <t>Cobre-Cu</t>
  </si>
  <si>
    <t>Balasto</t>
  </si>
  <si>
    <t>Hierro-Fe</t>
  </si>
  <si>
    <t>Agregados</t>
  </si>
  <si>
    <t>Tungsteno-W</t>
  </si>
  <si>
    <t>Muy baja</t>
  </si>
  <si>
    <t>Arena</t>
  </si>
  <si>
    <t>Cromo-Cr</t>
  </si>
  <si>
    <t>Uranio-U</t>
  </si>
  <si>
    <t>Cloruro de Sodio-NaCl (Sodio)</t>
  </si>
  <si>
    <t>Caolinita-Al2Si2O5(OH)4</t>
  </si>
  <si>
    <t>Aluminio-Al_Bauxita</t>
  </si>
  <si>
    <t>Corindón-Al2O3</t>
  </si>
  <si>
    <t>Estaño-Sn</t>
  </si>
  <si>
    <t>Talco-Mg3Si4O10(OH)2</t>
  </si>
  <si>
    <t>Azufre-S</t>
  </si>
  <si>
    <t>Titanio-Ti</t>
  </si>
  <si>
    <t>Fluor</t>
  </si>
  <si>
    <t>Fluorita-CaF2</t>
  </si>
  <si>
    <t>Casos excepcionales evaluados a partir de titulos mineros con reporte de pago de regalías</t>
  </si>
  <si>
    <t>Minerales identificados en títulos mineros</t>
  </si>
  <si>
    <t>Área total</t>
  </si>
  <si>
    <t>Feldespatos</t>
  </si>
  <si>
    <t>Tierras raras</t>
  </si>
  <si>
    <t>Casos excepcionales evaluados a partir del análisis espacial de interés geológico</t>
  </si>
  <si>
    <t>Minerales de interés geológico</t>
  </si>
  <si>
    <r>
      <rPr>
        <b/>
        <sz val="11"/>
        <color rgb="FF000000"/>
        <rFont val="Aptos Narrow"/>
        <family val="2"/>
      </rPr>
      <t>Nota:</t>
    </r>
    <r>
      <rPr>
        <sz val="11"/>
        <color rgb="FF000000"/>
        <rFont val="Aptos Narrow"/>
        <family val="2"/>
      </rPr>
      <t xml:space="preserve"> Para feldespato, arenas silíceas, tierras raras, litio y potasio la superposición ambiental se evaluó sobre títulos mineros con producción reportada en regalías, empleando las áreas tituladas como unidad de análisis.</t>
    </r>
  </si>
  <si>
    <t>Potencial de inserción en encadenamientos productivos: complejidad del producto</t>
  </si>
  <si>
    <t xml:space="preserve"> Índice de Complejidad de Producto (PCI)</t>
  </si>
  <si>
    <t>RC (Relevancia Competitiva)</t>
  </si>
  <si>
    <r>
      <t>Rango Factor de Crecimiento (PCI)</t>
    </r>
    <r>
      <rPr>
        <b/>
        <sz val="11"/>
        <rFont val="Times New Roman"/>
        <family val="1"/>
      </rPr>
      <t> </t>
    </r>
  </si>
  <si>
    <t>PCI &gt; - 0,213</t>
  </si>
  <si>
    <t>-0,686 &lt; PCI &lt;= -0,213</t>
  </si>
  <si>
    <t>-1,027 &lt; PCI &lt;= -0,686</t>
  </si>
  <si>
    <t>-1,643 &lt; PCI &lt;= -1,027</t>
  </si>
  <si>
    <t>PCI &lt; -1,643</t>
  </si>
  <si>
    <t xml:space="preserve"> Suma de Suma de World Trade </t>
  </si>
  <si>
    <t xml:space="preserve"> Suma de Indicador </t>
  </si>
  <si>
    <t>PCI</t>
  </si>
  <si>
    <t xml:space="preserve"> $                     178.418.056.146</t>
  </si>
  <si>
    <t>-$                    137.727.405.210</t>
  </si>
  <si>
    <t>Arenas siliceas</t>
  </si>
  <si>
    <t xml:space="preserve"> $                        14.093.960.018</t>
  </si>
  <si>
    <t>-$                          4.692.104.814</t>
  </si>
  <si>
    <t xml:space="preserve"> $                          3.619.348.729</t>
  </si>
  <si>
    <t>-$                          3.587.813.272</t>
  </si>
  <si>
    <t>Barita (o Bario)</t>
  </si>
  <si>
    <t xml:space="preserve"> $                               731.326.844</t>
  </si>
  <si>
    <t>-$                              979.977.971</t>
  </si>
  <si>
    <t>Calcita (Caliza)</t>
  </si>
  <si>
    <t xml:space="preserve"> $                        13.782.117.604</t>
  </si>
  <si>
    <t>-$                       13.401.830.676</t>
  </si>
  <si>
    <t xml:space="preserve"> $                     161.242.360.722</t>
  </si>
  <si>
    <t>-$                    341.202.504.178</t>
  </si>
  <si>
    <t xml:space="preserve"> $                     293.479.395.359</t>
  </si>
  <si>
    <t>-$                    552.365.820.706</t>
  </si>
  <si>
    <t xml:space="preserve"> $                          5.576.180.248</t>
  </si>
  <si>
    <t>-$                       18.401.394.818</t>
  </si>
  <si>
    <t>Elemento de Tierras raras</t>
  </si>
  <si>
    <t xml:space="preserve"> $                          2.451.496.193</t>
  </si>
  <si>
    <t xml:space="preserve"> $                               563.844.124</t>
  </si>
  <si>
    <t xml:space="preserve"> $                        14.076.433.423</t>
  </si>
  <si>
    <t>-$                       22.809.541.676</t>
  </si>
  <si>
    <t xml:space="preserve"> $                          7.624.155.648</t>
  </si>
  <si>
    <t>-$                       12.768.274.936</t>
  </si>
  <si>
    <t xml:space="preserve"> $                          1.455.910.855</t>
  </si>
  <si>
    <t>-$                          2.023.716.088</t>
  </si>
  <si>
    <t xml:space="preserve"> $                          4.209.240.883</t>
  </si>
  <si>
    <t>-$                          1.151.059.827</t>
  </si>
  <si>
    <t xml:space="preserve"> $                               454.376.888</t>
  </si>
  <si>
    <t>-$                              340.782.666</t>
  </si>
  <si>
    <t xml:space="preserve"> $                     421.499.701.508</t>
  </si>
  <si>
    <t>-$                    456.285.408.790</t>
  </si>
  <si>
    <t xml:space="preserve"> $                        10.647.159.617</t>
  </si>
  <si>
    <t>-$                          7.346.540.136</t>
  </si>
  <si>
    <t xml:space="preserve"> $                          9.305.578.363</t>
  </si>
  <si>
    <t>-$                       15.222.353.118</t>
  </si>
  <si>
    <t xml:space="preserve"> $                               981.506.469</t>
  </si>
  <si>
    <t xml:space="preserve"> $                               206.116.358</t>
  </si>
  <si>
    <t xml:space="preserve"> $                          9.205.605.415</t>
  </si>
  <si>
    <t>-$                          2.435.940.899</t>
  </si>
  <si>
    <t>Metales del grupo del platino</t>
  </si>
  <si>
    <t xml:space="preserve"> $                        41.949.468.416</t>
  </si>
  <si>
    <t xml:space="preserve"> $                          7.550.904.315</t>
  </si>
  <si>
    <t xml:space="preserve"> $                          8.589.943.375</t>
  </si>
  <si>
    <t>-$                          5.570.293.742</t>
  </si>
  <si>
    <t xml:space="preserve"> $                          2.631.287.842</t>
  </si>
  <si>
    <t>-$                          5.334.971.108</t>
  </si>
  <si>
    <t>Niquel</t>
  </si>
  <si>
    <t xml:space="preserve"> $                        22.941.675.650</t>
  </si>
  <si>
    <t>-$                              231.108.018</t>
  </si>
  <si>
    <t xml:space="preserve"> $                     532.980.718.346</t>
  </si>
  <si>
    <t>-$                1.396.191.775.574</t>
  </si>
  <si>
    <t xml:space="preserve"> $                        31.535.070.351</t>
  </si>
  <si>
    <t>-$                       21.443.847.839</t>
  </si>
  <si>
    <t xml:space="preserve"> $                        15.358.707.018</t>
  </si>
  <si>
    <t>-$                       29.013.065.490</t>
  </si>
  <si>
    <t>Potasio (potasa)</t>
  </si>
  <si>
    <t xml:space="preserve"> $                        24.084.280.828</t>
  </si>
  <si>
    <t>-$                       19.821.603.286</t>
  </si>
  <si>
    <t>Roca fosforica</t>
  </si>
  <si>
    <t xml:space="preserve"> $                          8.058.733.408</t>
  </si>
  <si>
    <t>-$                       10.421.517.673</t>
  </si>
  <si>
    <t xml:space="preserve"> $                               939.186.177</t>
  </si>
  <si>
    <t>-$                              610.471.015</t>
  </si>
  <si>
    <t xml:space="preserve"> $                        11.061.033.738</t>
  </si>
  <si>
    <t xml:space="preserve"> $                          3.812.411.275</t>
  </si>
  <si>
    <t xml:space="preserve"> $                          3.313.147.021</t>
  </si>
  <si>
    <t>-$                          1.573.895.879</t>
  </si>
  <si>
    <t>wolframio</t>
  </si>
  <si>
    <t xml:space="preserve"> $                          1.543.372.758</t>
  </si>
  <si>
    <t xml:space="preserve"> $                               516.365.588</t>
  </si>
  <si>
    <t xml:space="preserve"> $                          1.422.322.820</t>
  </si>
  <si>
    <t>-$                          1.678.340.928</t>
  </si>
  <si>
    <t xml:space="preserve"> $                          3.309.795.414</t>
  </si>
  <si>
    <t xml:space="preserve"> $                          3.740.068.818</t>
  </si>
  <si>
    <t xml:space="preserve"> $                        27.699.599.601</t>
  </si>
  <si>
    <t>-$                       24.986.212.859</t>
  </si>
  <si>
    <t>Seguridad de las cadenas de suministro</t>
  </si>
  <si>
    <t>Importancia económica y comercial</t>
  </si>
  <si>
    <t>Función industrial</t>
  </si>
  <si>
    <t xml:space="preserve">Favorabilidad geólogica y minera </t>
  </si>
  <si>
    <t>Inserción mercado mundial</t>
  </si>
  <si>
    <t>Seguridad nacional</t>
  </si>
  <si>
    <t>Ambiental</t>
  </si>
  <si>
    <t xml:space="preserve">Potencial de inserción </t>
  </si>
  <si>
    <t>X</t>
  </si>
  <si>
    <t>Y</t>
  </si>
  <si>
    <t>Peso</t>
  </si>
  <si>
    <t>Criterio 1</t>
  </si>
  <si>
    <t>Criterio 2</t>
  </si>
  <si>
    <t>Criterio 3</t>
  </si>
  <si>
    <t>Criterio 4</t>
  </si>
  <si>
    <t>Criterio 5</t>
  </si>
  <si>
    <t>Criterio 6</t>
  </si>
  <si>
    <t>Criterio 7</t>
  </si>
  <si>
    <t>Criterio 8</t>
  </si>
  <si>
    <t>REN</t>
  </si>
  <si>
    <t>VADI</t>
  </si>
  <si>
    <t>CALIFICACIÓN</t>
  </si>
  <si>
    <t>Definición de UMBRALES</t>
  </si>
  <si>
    <t>Media aritmética (n = 35)</t>
  </si>
  <si>
    <t>Desviación estándar poblacional</t>
  </si>
  <si>
    <t>Umbral = media − desviación estándar</t>
  </si>
  <si>
    <t>Umbral redondeado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</si>
</sst>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_-&quot;$&quot;\ * #,##0.00_-;\-&quot;$&quot;\ * #,##0.00_-;_-&quot;$&quot;\ * &quot;-&quot;??_-;_-@_-"/>
    <numFmt numFmtId="165" formatCode="_-&quot;$&quot;\ * #,##0_-;\-&quot;$&quot;\ * #,##0_-;_-&quot;$&quot;\ * &quot;-&quot;??_-;_-@_-"/>
    <numFmt numFmtId="166" formatCode="0.0%"/>
    <numFmt numFmtId="167" formatCode="0.000%"/>
    <numFmt numFmtId="168" formatCode="0.000"/>
    <numFmt numFmtId="169" formatCode="_-* #,##0.000_-;\-* #,##0.000_-;_-* &quot;-&quot;??_-;_-@_-"/>
    <numFmt numFmtId="170" formatCode="_-* #,##0_-;\-* #,##0_-;_-* &quot;-&quot;??_-;_-@_-"/>
    <numFmt numFmtId="171" formatCode="#,##0.0000"/>
    <numFmt numFmtId="172" formatCode="_-[$$-409]* #,##0_ ;_-[$$-409]* \-#,##0\ ;_-[$$-409]* &quot;-&quot;??_ ;_-@_ "/>
    <numFmt numFmtId="173" formatCode="0.0000"/>
    <numFmt numFmtId="174" formatCode="0.000000000%"/>
    <numFmt numFmtId="175" formatCode="#,##0.00000"/>
    <numFmt numFmtId="176" formatCode="0.0"/>
    <numFmt numFmtId="177" formatCode="_-* #,##0.0_-;\-* #,##0.0_-;_-* &quot;-&quot;??_-;_-@_-"/>
    <numFmt numFmtId="178" formatCode="0.0000%"/>
    <numFmt numFmtId="179" formatCode="0.00000"/>
  </numFmts>
  <fonts count="49">
    <font>
      <sz val="11"/>
      <color theme="1"/>
      <name val="Aptos Narrow"/>
      <family val="2"/>
      <scheme val="minor"/>
    </font>
    <font>
      <sz val="11"/>
      <color theme="1"/>
      <name val="Aptos Narrow"/>
      <family val="2"/>
      <scheme val="minor"/>
    </font>
    <font>
      <b/>
      <sz val="9"/>
      <color theme="1"/>
      <name val="Aptos Narrow"/>
      <family val="2"/>
      <scheme val="minor"/>
    </font>
    <font>
      <sz val="8"/>
      <name val="Aptos Narrow"/>
      <family val="2"/>
      <scheme val="minor"/>
    </font>
    <font>
      <b/>
      <sz val="11"/>
      <color theme="1"/>
      <name val="Aptos Narrow"/>
      <family val="2"/>
      <scheme val="minor"/>
    </font>
    <font>
      <sz val="11"/>
      <name val="Aptos Narrow"/>
      <family val="2"/>
      <scheme val="minor"/>
    </font>
    <font>
      <b/>
      <sz val="12"/>
      <color theme="1"/>
      <name val="Aptos Narrow"/>
      <family val="2"/>
      <scheme val="minor"/>
    </font>
    <font>
      <sz val="10"/>
      <name val="Segoe UI"/>
      <family val="2"/>
    </font>
    <font>
      <u/>
      <sz val="11"/>
      <color theme="10"/>
      <name val="Aptos Narrow"/>
      <family val="2"/>
      <scheme val="minor"/>
    </font>
    <font>
      <i/>
      <sz val="9"/>
      <name val="Calibri"/>
      <family val="2"/>
    </font>
    <font>
      <b/>
      <sz val="11"/>
      <name val="Calibri"/>
      <family val="2"/>
    </font>
    <font>
      <sz val="11"/>
      <color theme="1"/>
      <name val="Calibri (Cuerpo)"/>
    </font>
    <font>
      <b/>
      <sz val="10"/>
      <name val="Arial"/>
      <family val="2"/>
    </font>
    <font>
      <sz val="10"/>
      <name val="Arial"/>
      <family val="2"/>
    </font>
    <font>
      <b/>
      <sz val="10"/>
      <color theme="1"/>
      <name val="Aptos Narrow"/>
      <family val="2"/>
      <scheme val="minor"/>
    </font>
    <font>
      <b/>
      <sz val="11"/>
      <color rgb="FF000000"/>
      <name val="Aptos Narrow"/>
      <family val="2"/>
    </font>
    <font>
      <b/>
      <sz val="12"/>
      <color rgb="FF000000"/>
      <name val="Aptos Narrow"/>
      <family val="2"/>
    </font>
    <font>
      <sz val="11"/>
      <color rgb="FF000000"/>
      <name val="Aptos Narrow"/>
      <family val="2"/>
    </font>
    <font>
      <sz val="12"/>
      <color rgb="FF000000"/>
      <name val="Aptos Narrow"/>
      <family val="2"/>
    </font>
    <font>
      <sz val="11"/>
      <color rgb="FF000000"/>
      <name val="Segoe UI"/>
      <family val="2"/>
    </font>
    <font>
      <sz val="11"/>
      <color rgb="FF000000"/>
      <name val="Arial"/>
      <family val="2"/>
    </font>
    <font>
      <sz val="11"/>
      <color rgb="FF000000"/>
      <name val="Aptos Narrow"/>
      <family val="2"/>
      <scheme val="minor"/>
    </font>
    <font>
      <b/>
      <sz val="10"/>
      <name val="Segoe UI"/>
      <family val="2"/>
    </font>
    <font>
      <sz val="11"/>
      <name val="Calibri"/>
      <family val="2"/>
    </font>
    <font>
      <sz val="10"/>
      <color rgb="FF000000"/>
      <name val="Segoe UI"/>
      <family val="2"/>
    </font>
    <font>
      <b/>
      <sz val="10"/>
      <color rgb="FF000000"/>
      <name val="Segoe UI"/>
      <family val="2"/>
    </font>
    <font>
      <sz val="10"/>
      <color rgb="FF000000"/>
      <name val="Aptos Narrow"/>
      <family val="2"/>
    </font>
    <font>
      <sz val="10"/>
      <color rgb="FFFF0000"/>
      <name val="Segoe UI"/>
      <family val="2"/>
    </font>
    <font>
      <u/>
      <sz val="11"/>
      <color theme="1"/>
      <name val="Aptos Narrow"/>
      <family val="2"/>
      <scheme val="minor"/>
    </font>
    <font>
      <i/>
      <sz val="10"/>
      <name val="Arial"/>
      <family val="2"/>
    </font>
    <font>
      <sz val="11"/>
      <color rgb="FF000000"/>
      <name val="Verdana"/>
      <family val="2"/>
    </font>
    <font>
      <sz val="10"/>
      <name val="Verdana"/>
      <family val="2"/>
    </font>
    <font>
      <sz val="12"/>
      <color theme="1"/>
      <name val="Aptos Narrow"/>
      <family val="2"/>
      <scheme val="minor"/>
    </font>
    <font>
      <sz val="12"/>
      <color rgb="FF000000"/>
      <name val="Aptos Narrow"/>
      <family val="2"/>
      <scheme val="minor"/>
    </font>
    <font>
      <b/>
      <sz val="11"/>
      <color rgb="FF000000"/>
      <name val="Segoe UI"/>
      <family val="2"/>
    </font>
    <font>
      <b/>
      <sz val="14"/>
      <color rgb="FF000000"/>
      <name val="Segoe UI"/>
      <family val="2"/>
    </font>
    <font>
      <b/>
      <sz val="11"/>
      <name val="Times New Roman"/>
      <family val="1"/>
    </font>
    <font>
      <b/>
      <sz val="14"/>
      <name val="Aptos Narrow"/>
      <family val="2"/>
      <scheme val="minor"/>
    </font>
    <font>
      <b/>
      <sz val="14"/>
      <color rgb="FF000000"/>
      <name val="Aptos Narrow"/>
      <family val="2"/>
      <scheme val="minor"/>
    </font>
    <font>
      <sz val="12"/>
      <color rgb="FFC00000"/>
      <name val="Aptos Narrow"/>
      <family val="2"/>
      <scheme val="minor"/>
    </font>
    <font>
      <sz val="12"/>
      <color theme="1"/>
      <name val="Aptos Narrow"/>
      <family val="2"/>
    </font>
    <font>
      <b/>
      <sz val="12"/>
      <color rgb="FF000000"/>
      <name val="Segoe UI"/>
      <family val="2"/>
    </font>
    <font>
      <b/>
      <sz val="16"/>
      <color theme="0"/>
      <name val="Aptos Narrow"/>
      <family val="2"/>
      <scheme val="minor"/>
    </font>
    <font>
      <sz val="16"/>
      <color theme="1"/>
      <name val="Aptos Narrow"/>
      <family val="2"/>
      <scheme val="minor"/>
    </font>
    <font>
      <b/>
      <sz val="14"/>
      <color rgb="FF000000"/>
      <name val="Aptos Narrow"/>
      <family val="2"/>
    </font>
    <font>
      <sz val="11"/>
      <color theme="0"/>
      <name val="Aptos Narrow"/>
      <family val="2"/>
      <scheme val="minor"/>
    </font>
    <font>
      <sz val="11"/>
      <color rgb="FF000000"/>
      <name val="Aptos Narrow"/>
    </font>
    <font>
      <b/>
      <i/>
      <sz val="10"/>
      <color rgb="FF000000"/>
      <name val="Calibri"/>
    </font>
    <font>
      <i/>
      <sz val="10"/>
      <color rgb="FF000000"/>
      <name val="Calibri"/>
    </font>
  </fonts>
  <fills count="16">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bgColor indexed="64"/>
      </patternFill>
    </fill>
    <fill>
      <patternFill patternType="solid">
        <fgColor rgb="FF00B0F0"/>
        <bgColor indexed="64"/>
      </patternFill>
    </fill>
    <fill>
      <patternFill patternType="solid">
        <fgColor theme="0"/>
        <bgColor indexed="64"/>
      </patternFill>
    </fill>
    <fill>
      <patternFill patternType="solid">
        <fgColor rgb="FFC0E6F5"/>
        <bgColor rgb="FF000000"/>
      </patternFill>
    </fill>
    <fill>
      <patternFill patternType="solid">
        <fgColor rgb="FFFFC000"/>
        <bgColor indexed="64"/>
      </patternFill>
    </fill>
    <fill>
      <patternFill patternType="solid">
        <fgColor rgb="FF00B050"/>
        <bgColor indexed="64"/>
      </patternFill>
    </fill>
    <fill>
      <patternFill patternType="solid">
        <fgColor rgb="FFFF00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6"/>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E6E6E6"/>
      </right>
      <top style="medium">
        <color rgb="FFE6E6E6"/>
      </top>
      <bottom style="medium">
        <color rgb="FFE6E6E6"/>
      </bottom>
      <diagonal/>
    </border>
    <border>
      <left/>
      <right style="medium">
        <color rgb="FFE6E6E6"/>
      </right>
      <top/>
      <bottom style="medium">
        <color rgb="FFE6E6E6"/>
      </bottom>
      <diagonal/>
    </border>
    <border>
      <left/>
      <right style="thin">
        <color rgb="FF000000"/>
      </right>
      <top style="thin">
        <color rgb="FF000000"/>
      </top>
      <bottom/>
      <diagonal/>
    </border>
    <border>
      <left/>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style="thin">
        <color rgb="FF000000"/>
      </right>
      <top/>
      <bottom style="thin">
        <color rgb="FF000000"/>
      </bottom>
      <diagonal/>
    </border>
    <border>
      <left/>
      <right style="thin">
        <color indexed="64"/>
      </right>
      <top/>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309">
    <xf numFmtId="0" fontId="0" fillId="0" borderId="0" xfId="0"/>
    <xf numFmtId="0" fontId="2" fillId="2" borderId="1" xfId="0" applyFont="1" applyFill="1" applyBorder="1" applyAlignment="1">
      <alignment horizontal="center" vertical="center" wrapText="1"/>
    </xf>
    <xf numFmtId="0" fontId="0" fillId="0" borderId="1" xfId="0" applyBorder="1"/>
    <xf numFmtId="165" fontId="0" fillId="0" borderId="1" xfId="2" applyNumberFormat="1" applyFont="1" applyBorder="1"/>
    <xf numFmtId="167" fontId="0" fillId="0" borderId="1" xfId="3" applyNumberFormat="1" applyFont="1" applyBorder="1" applyAlignment="1">
      <alignment horizontal="center"/>
    </xf>
    <xf numFmtId="0" fontId="0" fillId="0" borderId="1" xfId="0" applyBorder="1" applyAlignment="1">
      <alignment horizontal="center"/>
    </xf>
    <xf numFmtId="0" fontId="0" fillId="2" borderId="1" xfId="0" applyFill="1" applyBorder="1" applyAlignment="1">
      <alignment horizontal="center"/>
    </xf>
    <xf numFmtId="168" fontId="0" fillId="0" borderId="1" xfId="0" applyNumberFormat="1" applyBorder="1"/>
    <xf numFmtId="169" fontId="0" fillId="0" borderId="1" xfId="1" applyNumberFormat="1" applyFont="1" applyBorder="1"/>
    <xf numFmtId="166" fontId="0" fillId="0" borderId="1" xfId="3" applyNumberFormat="1" applyFont="1" applyBorder="1"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165" fontId="0" fillId="0" borderId="0" xfId="2" applyNumberFormat="1" applyFont="1"/>
    <xf numFmtId="166" fontId="0" fillId="0" borderId="0" xfId="3" applyNumberFormat="1" applyFont="1" applyAlignment="1">
      <alignment horizontal="center"/>
    </xf>
    <xf numFmtId="0" fontId="0" fillId="0" borderId="0" xfId="0" applyAlignment="1">
      <alignment horizontal="center" vertical="center" wrapText="1"/>
    </xf>
    <xf numFmtId="0" fontId="5" fillId="0" borderId="0" xfId="0" applyFont="1"/>
    <xf numFmtId="0" fontId="5" fillId="0" borderId="0" xfId="0" applyFont="1" applyAlignment="1">
      <alignment horizontal="center"/>
    </xf>
    <xf numFmtId="0" fontId="5" fillId="0" borderId="0" xfId="0" applyFont="1" applyAlignment="1">
      <alignment horizontal="left"/>
    </xf>
    <xf numFmtId="43" fontId="0" fillId="0" borderId="0" xfId="1" applyFont="1" applyAlignment="1">
      <alignment horizontal="center" vertical="center"/>
    </xf>
    <xf numFmtId="43" fontId="0" fillId="0" borderId="0" xfId="1" applyFont="1"/>
    <xf numFmtId="0" fontId="0" fillId="0" borderId="7" xfId="0" applyBorder="1" applyAlignment="1">
      <alignment horizontal="center" vertical="center"/>
    </xf>
    <xf numFmtId="0" fontId="4" fillId="0" borderId="0" xfId="0" applyFont="1"/>
    <xf numFmtId="0" fontId="11" fillId="0" borderId="0" xfId="0" applyFont="1"/>
    <xf numFmtId="0" fontId="13" fillId="0" borderId="1" xfId="0" applyFont="1" applyBorder="1" applyAlignment="1">
      <alignment horizontal="center" vertical="center"/>
    </xf>
    <xf numFmtId="0" fontId="13" fillId="0" borderId="0" xfId="0" applyFont="1"/>
    <xf numFmtId="0" fontId="14" fillId="0" borderId="12" xfId="0" applyFont="1" applyBorder="1" applyAlignment="1">
      <alignment horizontal="left" vertical="top"/>
    </xf>
    <xf numFmtId="0" fontId="17" fillId="0" borderId="0" xfId="0" applyFont="1"/>
    <xf numFmtId="0" fontId="20" fillId="0" borderId="8" xfId="0" applyFont="1" applyBorder="1"/>
    <xf numFmtId="0" fontId="13" fillId="0" borderId="7" xfId="0" applyFont="1" applyBorder="1"/>
    <xf numFmtId="0" fontId="24" fillId="0" borderId="7" xfId="0" applyFont="1" applyBorder="1" applyAlignment="1">
      <alignment horizontal="center" vertical="center"/>
    </xf>
    <xf numFmtId="0" fontId="5" fillId="0" borderId="7" xfId="0" applyFont="1" applyBorder="1" applyAlignment="1">
      <alignment horizontal="center" vertical="center"/>
    </xf>
    <xf numFmtId="0" fontId="0" fillId="0" borderId="3" xfId="0" applyBorder="1" applyAlignment="1">
      <alignment horizontal="center"/>
    </xf>
    <xf numFmtId="0" fontId="0" fillId="2" borderId="2" xfId="0" applyFill="1" applyBorder="1" applyAlignment="1">
      <alignment horizontal="center"/>
    </xf>
    <xf numFmtId="0" fontId="0" fillId="7" borderId="0" xfId="0" applyFill="1"/>
    <xf numFmtId="0" fontId="2" fillId="7" borderId="0" xfId="0" applyFont="1" applyFill="1" applyAlignment="1">
      <alignment horizontal="center" vertical="center"/>
    </xf>
    <xf numFmtId="0" fontId="15" fillId="8" borderId="1" xfId="0" applyFont="1" applyFill="1" applyBorder="1" applyAlignment="1">
      <alignment wrapText="1"/>
    </xf>
    <xf numFmtId="0" fontId="15" fillId="8" borderId="3" xfId="0" applyFont="1" applyFill="1" applyBorder="1" applyAlignment="1">
      <alignment wrapText="1"/>
    </xf>
    <xf numFmtId="0" fontId="17" fillId="0" borderId="8" xfId="0" applyFont="1" applyBorder="1" applyAlignment="1">
      <alignment wrapText="1"/>
    </xf>
    <xf numFmtId="3" fontId="17" fillId="0" borderId="15" xfId="0" applyNumberFormat="1" applyFont="1" applyBorder="1"/>
    <xf numFmtId="0" fontId="17" fillId="0" borderId="15" xfId="0" applyFont="1" applyBorder="1" applyAlignment="1">
      <alignment wrapText="1"/>
    </xf>
    <xf numFmtId="0" fontId="26" fillId="0" borderId="15" xfId="0" applyFont="1" applyBorder="1" applyAlignment="1">
      <alignment wrapText="1"/>
    </xf>
    <xf numFmtId="0" fontId="19" fillId="0" borderId="18" xfId="0" applyFont="1" applyBorder="1" applyAlignment="1">
      <alignment wrapText="1"/>
    </xf>
    <xf numFmtId="0" fontId="19" fillId="0" borderId="19" xfId="0" applyFont="1" applyBorder="1" applyAlignment="1">
      <alignment wrapText="1"/>
    </xf>
    <xf numFmtId="0" fontId="0" fillId="7" borderId="7" xfId="0" applyFill="1" applyBorder="1" applyAlignment="1">
      <alignment horizontal="center"/>
    </xf>
    <xf numFmtId="165" fontId="0" fillId="0" borderId="1" xfId="2" applyNumberFormat="1" applyFont="1" applyBorder="1" applyAlignment="1">
      <alignment horizontal="center"/>
    </xf>
    <xf numFmtId="0" fontId="4" fillId="0" borderId="7" xfId="0" applyFont="1" applyBorder="1" applyAlignment="1">
      <alignment horizontal="center" vertical="center"/>
    </xf>
    <xf numFmtId="43" fontId="4" fillId="0" borderId="7" xfId="1" applyFont="1" applyBorder="1" applyAlignment="1">
      <alignment horizontal="center" vertical="center" wrapText="1"/>
    </xf>
    <xf numFmtId="0" fontId="0" fillId="0" borderId="7" xfId="0" applyBorder="1"/>
    <xf numFmtId="1" fontId="0" fillId="0" borderId="7" xfId="0" applyNumberFormat="1" applyBorder="1" applyAlignment="1">
      <alignment horizontal="center" vertical="center"/>
    </xf>
    <xf numFmtId="43" fontId="0" fillId="0" borderId="7" xfId="1" applyFont="1" applyBorder="1" applyAlignment="1">
      <alignment horizontal="center"/>
    </xf>
    <xf numFmtId="0" fontId="0" fillId="5" borderId="7" xfId="0" applyFill="1" applyBorder="1" applyAlignment="1">
      <alignment horizontal="center" vertical="center" wrapText="1"/>
    </xf>
    <xf numFmtId="0" fontId="0" fillId="6" borderId="7" xfId="0" applyFill="1" applyBorder="1" applyAlignment="1">
      <alignment horizontal="center" vertical="center" wrapText="1"/>
    </xf>
    <xf numFmtId="0" fontId="0" fillId="6" borderId="7" xfId="0" applyFill="1" applyBorder="1" applyAlignment="1">
      <alignment horizontal="center" vertical="center"/>
    </xf>
    <xf numFmtId="0" fontId="4" fillId="0" borderId="5" xfId="0" applyFont="1" applyBorder="1" applyAlignment="1">
      <alignment horizontal="center" vertical="center" wrapText="1"/>
    </xf>
    <xf numFmtId="43" fontId="4" fillId="0" borderId="7" xfId="1" applyFont="1" applyBorder="1" applyAlignment="1">
      <alignment horizontal="center" vertical="center"/>
    </xf>
    <xf numFmtId="43" fontId="4" fillId="6" borderId="5" xfId="1" applyFont="1" applyFill="1" applyBorder="1" applyAlignment="1">
      <alignment horizontal="center" vertical="center"/>
    </xf>
    <xf numFmtId="0" fontId="4" fillId="5" borderId="5" xfId="0" applyFont="1" applyFill="1" applyBorder="1" applyAlignment="1">
      <alignment horizontal="center" vertical="center" wrapText="1"/>
    </xf>
    <xf numFmtId="0" fontId="5" fillId="0" borderId="0" xfId="0" applyFont="1" applyAlignment="1">
      <alignment horizontal="center" vertical="center"/>
    </xf>
    <xf numFmtId="173" fontId="17" fillId="0" borderId="15" xfId="0" applyNumberFormat="1" applyFont="1" applyBorder="1"/>
    <xf numFmtId="0" fontId="28" fillId="0" borderId="0" xfId="0" applyFont="1"/>
    <xf numFmtId="2" fontId="0" fillId="0" borderId="0" xfId="0" applyNumberFormat="1"/>
    <xf numFmtId="0" fontId="6" fillId="0" borderId="0" xfId="0" applyFont="1"/>
    <xf numFmtId="0" fontId="12" fillId="0" borderId="0" xfId="0" applyFont="1" applyAlignment="1">
      <alignment horizontal="center" vertical="center"/>
    </xf>
    <xf numFmtId="0" fontId="13" fillId="0" borderId="0" xfId="0" applyFont="1" applyAlignment="1">
      <alignment horizontal="center" vertical="center"/>
    </xf>
    <xf numFmtId="0" fontId="29" fillId="0" borderId="0" xfId="0" applyFont="1" applyAlignment="1">
      <alignment horizontal="center" vertical="center"/>
    </xf>
    <xf numFmtId="2" fontId="13" fillId="0" borderId="7" xfId="0" applyNumberFormat="1" applyFont="1" applyBorder="1"/>
    <xf numFmtId="2" fontId="0" fillId="0" borderId="7" xfId="0" applyNumberFormat="1" applyBorder="1"/>
    <xf numFmtId="0" fontId="0" fillId="0" borderId="13" xfId="0" applyBorder="1"/>
    <xf numFmtId="2" fontId="0" fillId="0" borderId="13" xfId="0" applyNumberFormat="1" applyBorder="1"/>
    <xf numFmtId="2" fontId="13" fillId="0" borderId="13" xfId="0" applyNumberFormat="1" applyFont="1" applyBorder="1"/>
    <xf numFmtId="1" fontId="13" fillId="0" borderId="7" xfId="0" applyNumberFormat="1" applyFont="1" applyBorder="1" applyAlignment="1">
      <alignment horizontal="center"/>
    </xf>
    <xf numFmtId="0" fontId="0" fillId="0" borderId="2" xfId="0" applyBorder="1" applyAlignment="1">
      <alignment horizontal="center"/>
    </xf>
    <xf numFmtId="0" fontId="0" fillId="0" borderId="3" xfId="0" applyBorder="1"/>
    <xf numFmtId="0" fontId="0" fillId="0" borderId="8" xfId="0" applyBorder="1"/>
    <xf numFmtId="0" fontId="20" fillId="0" borderId="1" xfId="0" applyFont="1" applyBorder="1"/>
    <xf numFmtId="172" fontId="17" fillId="0" borderId="7" xfId="0" applyNumberFormat="1" applyFont="1" applyBorder="1"/>
    <xf numFmtId="10" fontId="0" fillId="0" borderId="10" xfId="3" applyNumberFormat="1" applyFont="1" applyBorder="1"/>
    <xf numFmtId="165" fontId="0" fillId="0" borderId="8" xfId="0" applyNumberFormat="1" applyBorder="1"/>
    <xf numFmtId="10" fontId="0" fillId="0" borderId="2" xfId="0" applyNumberFormat="1" applyBorder="1"/>
    <xf numFmtId="0" fontId="17" fillId="0" borderId="15" xfId="0" applyFont="1" applyBorder="1"/>
    <xf numFmtId="0" fontId="17" fillId="0" borderId="7" xfId="0" applyFont="1" applyBorder="1"/>
    <xf numFmtId="0" fontId="18" fillId="0" borderId="7" xfId="0" applyFont="1" applyBorder="1"/>
    <xf numFmtId="0" fontId="18" fillId="0" borderId="7" xfId="0" applyFont="1" applyBorder="1" applyAlignment="1">
      <alignment wrapText="1"/>
    </xf>
    <xf numFmtId="0" fontId="15" fillId="0" borderId="7" xfId="0" applyFont="1" applyBorder="1" applyAlignment="1">
      <alignment horizontal="center" vertical="center"/>
    </xf>
    <xf numFmtId="0" fontId="17" fillId="0" borderId="0" xfId="0" applyFont="1" applyAlignment="1">
      <alignment horizontal="center" vertical="center"/>
    </xf>
    <xf numFmtId="0" fontId="17" fillId="0" borderId="7" xfId="0" applyFont="1" applyBorder="1" applyAlignment="1">
      <alignment horizontal="center" vertical="center"/>
    </xf>
    <xf numFmtId="3" fontId="17" fillId="0" borderId="7" xfId="0" applyNumberFormat="1" applyFont="1" applyBorder="1"/>
    <xf numFmtId="2" fontId="0" fillId="0" borderId="20" xfId="0" applyNumberFormat="1" applyBorder="1"/>
    <xf numFmtId="9" fontId="15" fillId="2" borderId="7" xfId="0" applyNumberFormat="1" applyFont="1" applyFill="1" applyBorder="1" applyAlignment="1">
      <alignment horizontal="center" vertical="center"/>
    </xf>
    <xf numFmtId="0" fontId="2" fillId="13" borderId="7" xfId="0" applyFont="1" applyFill="1" applyBorder="1" applyAlignment="1">
      <alignment horizontal="center" vertical="center"/>
    </xf>
    <xf numFmtId="1" fontId="0" fillId="13" borderId="7" xfId="0" applyNumberFormat="1" applyFill="1" applyBorder="1" applyAlignment="1">
      <alignment horizontal="center"/>
    </xf>
    <xf numFmtId="3" fontId="0" fillId="0" borderId="7" xfId="0" applyNumberFormat="1" applyBorder="1" applyAlignment="1">
      <alignment horizontal="right" vertical="center"/>
    </xf>
    <xf numFmtId="171" fontId="0" fillId="0" borderId="7" xfId="0" applyNumberFormat="1" applyBorder="1" applyAlignment="1">
      <alignment horizontal="right" vertical="center"/>
    </xf>
    <xf numFmtId="9" fontId="15" fillId="2" borderId="7" xfId="0" applyNumberFormat="1" applyFont="1" applyFill="1" applyBorder="1" applyAlignment="1">
      <alignment horizontal="center" vertical="center" wrapText="1"/>
    </xf>
    <xf numFmtId="0" fontId="0" fillId="13" borderId="7" xfId="0" applyFill="1" applyBorder="1" applyAlignment="1">
      <alignment horizontal="center" vertical="center"/>
    </xf>
    <xf numFmtId="0" fontId="32" fillId="0" borderId="16" xfId="0" applyFont="1" applyBorder="1" applyAlignment="1">
      <alignment horizontal="center" vertical="center"/>
    </xf>
    <xf numFmtId="0" fontId="33" fillId="0" borderId="16" xfId="0" applyFont="1" applyBorder="1" applyAlignment="1">
      <alignment horizontal="center" vertical="center"/>
    </xf>
    <xf numFmtId="0" fontId="5" fillId="0" borderId="16" xfId="0" applyFont="1" applyBorder="1" applyAlignment="1">
      <alignment horizontal="center" vertical="center"/>
    </xf>
    <xf numFmtId="0" fontId="33" fillId="0" borderId="10" xfId="0" applyFont="1" applyBorder="1" applyAlignment="1">
      <alignment horizontal="center" vertical="center"/>
    </xf>
    <xf numFmtId="0" fontId="2" fillId="7" borderId="7" xfId="0" applyFont="1" applyFill="1" applyBorder="1" applyAlignment="1">
      <alignment horizontal="center" vertical="center"/>
    </xf>
    <xf numFmtId="0" fontId="2" fillId="0" borderId="3" xfId="0" applyFont="1" applyBorder="1" applyAlignment="1">
      <alignment horizontal="center" vertical="center"/>
    </xf>
    <xf numFmtId="0" fontId="10" fillId="13" borderId="11" xfId="0" applyFont="1" applyFill="1" applyBorder="1" applyAlignment="1">
      <alignment horizontal="center" vertical="center" wrapText="1"/>
    </xf>
    <xf numFmtId="1" fontId="13" fillId="13" borderId="7" xfId="0" applyNumberFormat="1" applyFont="1" applyFill="1" applyBorder="1" applyAlignment="1">
      <alignment horizontal="center" vertical="center"/>
    </xf>
    <xf numFmtId="1" fontId="13" fillId="13" borderId="5" xfId="0" applyNumberFormat="1" applyFont="1" applyFill="1" applyBorder="1" applyAlignment="1">
      <alignment horizontal="center" vertical="center"/>
    </xf>
    <xf numFmtId="1" fontId="0" fillId="0" borderId="7" xfId="0" applyNumberFormat="1" applyBorder="1"/>
    <xf numFmtId="11" fontId="17" fillId="0" borderId="7" xfId="0" applyNumberFormat="1" applyFont="1" applyBorder="1"/>
    <xf numFmtId="170" fontId="4" fillId="0" borderId="0" xfId="0" applyNumberFormat="1" applyFont="1"/>
    <xf numFmtId="0" fontId="15" fillId="8" borderId="7" xfId="0" applyFont="1" applyFill="1" applyBorder="1" applyAlignment="1">
      <alignment wrapText="1"/>
    </xf>
    <xf numFmtId="0" fontId="15" fillId="14" borderId="7" xfId="0" applyFont="1" applyFill="1" applyBorder="1" applyAlignment="1">
      <alignment horizontal="center"/>
    </xf>
    <xf numFmtId="0" fontId="4" fillId="14" borderId="1" xfId="0" applyFont="1" applyFill="1" applyBorder="1" applyAlignment="1">
      <alignment horizontal="center"/>
    </xf>
    <xf numFmtId="0" fontId="15" fillId="14" borderId="8" xfId="0" applyFont="1" applyFill="1" applyBorder="1" applyAlignment="1">
      <alignment horizontal="center"/>
    </xf>
    <xf numFmtId="0" fontId="15" fillId="14" borderId="15" xfId="0" applyFont="1" applyFill="1" applyBorder="1" applyAlignment="1">
      <alignment horizontal="center"/>
    </xf>
    <xf numFmtId="0" fontId="12" fillId="14" borderId="1" xfId="0" applyFont="1" applyFill="1" applyBorder="1" applyAlignment="1">
      <alignment horizontal="center" vertical="center"/>
    </xf>
    <xf numFmtId="0" fontId="0" fillId="0" borderId="0" xfId="0" applyAlignment="1">
      <alignment vertical="center"/>
    </xf>
    <xf numFmtId="0" fontId="41" fillId="4" borderId="7"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7" xfId="0" applyFont="1" applyFill="1" applyBorder="1" applyAlignment="1">
      <alignment horizontal="center" vertical="center"/>
    </xf>
    <xf numFmtId="0" fontId="16" fillId="4" borderId="7" xfId="0" applyFont="1" applyFill="1" applyBorder="1" applyAlignment="1">
      <alignment horizontal="center" vertical="center" wrapText="1"/>
    </xf>
    <xf numFmtId="165" fontId="2" fillId="4" borderId="1" xfId="2" applyNumberFormat="1" applyFont="1" applyFill="1" applyBorder="1" applyAlignment="1">
      <alignment horizontal="center" vertical="center" wrapText="1"/>
    </xf>
    <xf numFmtId="166" fontId="2" fillId="4" borderId="1" xfId="3" applyNumberFormat="1"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9" xfId="0" applyFont="1" applyFill="1" applyBorder="1" applyAlignment="1">
      <alignment horizontal="center" vertical="center" wrapText="1"/>
    </xf>
    <xf numFmtId="166" fontId="2" fillId="4" borderId="9" xfId="3"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7" fillId="2" borderId="7" xfId="0" applyFont="1" applyFill="1" applyBorder="1" applyAlignment="1">
      <alignment horizontal="center" vertical="center"/>
    </xf>
    <xf numFmtId="0" fontId="15" fillId="13" borderId="7" xfId="0" applyFont="1" applyFill="1" applyBorder="1" applyAlignment="1">
      <alignment horizontal="center" vertical="center"/>
    </xf>
    <xf numFmtId="0" fontId="43" fillId="0" borderId="0" xfId="0" applyFont="1"/>
    <xf numFmtId="0" fontId="42" fillId="0" borderId="0" xfId="0" applyFont="1" applyAlignment="1">
      <alignment vertical="center"/>
    </xf>
    <xf numFmtId="0" fontId="12" fillId="4" borderId="7" xfId="0" applyFont="1" applyFill="1" applyBorder="1" applyAlignment="1">
      <alignment horizontal="center" vertical="center"/>
    </xf>
    <xf numFmtId="2" fontId="12" fillId="4" borderId="7" xfId="0" applyNumberFormat="1" applyFont="1" applyFill="1" applyBorder="1" applyAlignment="1">
      <alignment horizontal="center" vertical="center"/>
    </xf>
    <xf numFmtId="0" fontId="12" fillId="4" borderId="7" xfId="0" applyFont="1" applyFill="1" applyBorder="1" applyAlignment="1">
      <alignment horizontal="center" vertical="center" wrapText="1"/>
    </xf>
    <xf numFmtId="2" fontId="12" fillId="4" borderId="7" xfId="0" applyNumberFormat="1" applyFont="1" applyFill="1" applyBorder="1" applyAlignment="1">
      <alignment horizontal="center" vertical="center" wrapText="1"/>
    </xf>
    <xf numFmtId="9" fontId="17" fillId="0" borderId="7" xfId="0" applyNumberFormat="1" applyFont="1" applyBorder="1" applyAlignment="1">
      <alignment horizontal="center" vertical="center"/>
    </xf>
    <xf numFmtId="10" fontId="17" fillId="0" borderId="7" xfId="0" applyNumberFormat="1" applyFont="1" applyBorder="1" applyAlignment="1">
      <alignment horizontal="center" vertical="center"/>
    </xf>
    <xf numFmtId="3" fontId="17" fillId="0" borderId="7" xfId="0" applyNumberFormat="1" applyFont="1" applyBorder="1" applyAlignment="1">
      <alignment horizontal="center" vertical="center"/>
    </xf>
    <xf numFmtId="0" fontId="18" fillId="0" borderId="7" xfId="0" applyFont="1" applyBorder="1" applyAlignment="1">
      <alignment horizontal="center" vertical="center"/>
    </xf>
    <xf numFmtId="0" fontId="17" fillId="0" borderId="0" xfId="0" applyFont="1" applyAlignment="1">
      <alignment vertical="center"/>
    </xf>
    <xf numFmtId="174" fontId="17" fillId="0" borderId="15" xfId="0" applyNumberFormat="1" applyFont="1" applyBorder="1" applyAlignment="1">
      <alignment vertical="center"/>
    </xf>
    <xf numFmtId="0" fontId="4" fillId="0" borderId="0" xfId="0" applyFont="1" applyAlignment="1">
      <alignment vertical="center"/>
    </xf>
    <xf numFmtId="0" fontId="15" fillId="14" borderId="7" xfId="0" applyFont="1" applyFill="1" applyBorder="1" applyAlignment="1">
      <alignment vertical="center"/>
    </xf>
    <xf numFmtId="0" fontId="15" fillId="0" borderId="7" xfId="0" applyFont="1" applyBorder="1" applyAlignment="1">
      <alignment vertical="center"/>
    </xf>
    <xf numFmtId="0" fontId="16" fillId="0" borderId="7" xfId="0" applyFont="1" applyBorder="1" applyAlignment="1">
      <alignment horizontal="center" vertical="center" wrapText="1"/>
    </xf>
    <xf numFmtId="0" fontId="0" fillId="7" borderId="5" xfId="0" applyFill="1" applyBorder="1" applyAlignment="1">
      <alignment horizontal="center"/>
    </xf>
    <xf numFmtId="0" fontId="4" fillId="0" borderId="1" xfId="0" applyFont="1" applyBorder="1" applyAlignment="1">
      <alignment horizontal="right"/>
    </xf>
    <xf numFmtId="0" fontId="0" fillId="0" borderId="5" xfId="0" applyBorder="1" applyAlignment="1">
      <alignment horizontal="center" vertical="center"/>
    </xf>
    <xf numFmtId="2" fontId="17" fillId="0" borderId="7" xfId="0" applyNumberFormat="1" applyFont="1" applyBorder="1" applyAlignment="1">
      <alignment horizontal="center" vertical="center"/>
    </xf>
    <xf numFmtId="0" fontId="17" fillId="13" borderId="7" xfId="0" applyFont="1" applyFill="1" applyBorder="1" applyAlignment="1">
      <alignment horizontal="center" vertical="center"/>
    </xf>
    <xf numFmtId="175" fontId="17" fillId="0" borderId="7" xfId="0" applyNumberFormat="1" applyFont="1" applyBorder="1" applyAlignment="1">
      <alignment horizontal="center" vertical="center"/>
    </xf>
    <xf numFmtId="166" fontId="17" fillId="0" borderId="7" xfId="0" applyNumberFormat="1" applyFont="1" applyBorder="1" applyAlignment="1">
      <alignment horizontal="center" vertical="center"/>
    </xf>
    <xf numFmtId="10" fontId="17" fillId="0" borderId="7" xfId="0" applyNumberFormat="1" applyFont="1" applyBorder="1" applyAlignment="1">
      <alignment vertical="center"/>
    </xf>
    <xf numFmtId="0" fontId="1" fillId="0" borderId="0" xfId="0" applyFont="1"/>
    <xf numFmtId="0" fontId="4" fillId="0" borderId="0" xfId="0" applyFont="1" applyAlignment="1">
      <alignment horizontal="left" vertical="top"/>
    </xf>
    <xf numFmtId="0" fontId="1" fillId="0" borderId="0" xfId="0" applyFont="1" applyAlignment="1">
      <alignment horizontal="left" vertical="top"/>
    </xf>
    <xf numFmtId="171" fontId="1" fillId="0" borderId="12" xfId="0" applyNumberFormat="1" applyFont="1" applyBorder="1" applyAlignment="1">
      <alignment horizontal="left" vertical="top"/>
    </xf>
    <xf numFmtId="0" fontId="4" fillId="4" borderId="7" xfId="0" applyFont="1" applyFill="1" applyBorder="1" applyAlignment="1">
      <alignment horizontal="center" vertical="center" wrapText="1"/>
    </xf>
    <xf numFmtId="0" fontId="4" fillId="2" borderId="7" xfId="0" applyFont="1" applyFill="1" applyBorder="1" applyAlignment="1">
      <alignment vertical="center" wrapText="1"/>
    </xf>
    <xf numFmtId="0" fontId="4" fillId="4" borderId="7" xfId="0" applyFont="1" applyFill="1" applyBorder="1" applyAlignment="1">
      <alignment horizontal="center" vertical="top" wrapText="1"/>
    </xf>
    <xf numFmtId="0" fontId="4" fillId="2" borderId="7"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17" fillId="0" borderId="3" xfId="0" applyFont="1" applyBorder="1"/>
    <xf numFmtId="0" fontId="20" fillId="0" borderId="8" xfId="0" quotePrefix="1" applyFont="1" applyBorder="1"/>
    <xf numFmtId="2" fontId="13" fillId="0" borderId="0" xfId="0" applyNumberFormat="1" applyFont="1"/>
    <xf numFmtId="0" fontId="0" fillId="0" borderId="7" xfId="0" applyBorder="1" applyAlignment="1">
      <alignment vertical="center"/>
    </xf>
    <xf numFmtId="1" fontId="0" fillId="2" borderId="7" xfId="0" applyNumberFormat="1" applyFill="1" applyBorder="1" applyAlignment="1">
      <alignment vertical="center"/>
    </xf>
    <xf numFmtId="1" fontId="0" fillId="2" borderId="7" xfId="0" applyNumberFormat="1" applyFill="1" applyBorder="1" applyAlignment="1">
      <alignment horizontal="center" vertical="center"/>
    </xf>
    <xf numFmtId="1" fontId="0" fillId="13" borderId="7" xfId="0" applyNumberFormat="1" applyFill="1" applyBorder="1" applyAlignment="1">
      <alignment horizontal="center" vertical="center"/>
    </xf>
    <xf numFmtId="43" fontId="0" fillId="0" borderId="0" xfId="0" applyNumberFormat="1"/>
    <xf numFmtId="1" fontId="0" fillId="3" borderId="7" xfId="0" applyNumberFormat="1" applyFill="1" applyBorder="1"/>
    <xf numFmtId="1" fontId="0" fillId="10" borderId="7" xfId="0" applyNumberFormat="1" applyFill="1" applyBorder="1"/>
    <xf numFmtId="1" fontId="0" fillId="12" borderId="7" xfId="0" applyNumberFormat="1" applyFill="1" applyBorder="1"/>
    <xf numFmtId="1" fontId="0" fillId="9" borderId="7" xfId="0" applyNumberFormat="1" applyFill="1" applyBorder="1"/>
    <xf numFmtId="1" fontId="0" fillId="11" borderId="7" xfId="0" applyNumberFormat="1" applyFill="1" applyBorder="1"/>
    <xf numFmtId="1" fontId="0" fillId="10" borderId="13" xfId="0" applyNumberFormat="1" applyFill="1" applyBorder="1"/>
    <xf numFmtId="1" fontId="0" fillId="11" borderId="13" xfId="0" applyNumberFormat="1" applyFill="1" applyBorder="1"/>
    <xf numFmtId="1" fontId="13" fillId="0" borderId="0" xfId="0" applyNumberFormat="1" applyFont="1" applyAlignment="1">
      <alignment horizontal="center" vertical="center"/>
    </xf>
    <xf numFmtId="177" fontId="0" fillId="0" borderId="7" xfId="1" applyNumberFormat="1" applyFont="1" applyBorder="1" applyAlignment="1">
      <alignment horizontal="center" vertical="center"/>
    </xf>
    <xf numFmtId="177" fontId="0" fillId="0" borderId="7" xfId="0" applyNumberFormat="1" applyBorder="1" applyAlignment="1">
      <alignment horizontal="center"/>
    </xf>
    <xf numFmtId="176" fontId="0" fillId="0" borderId="7" xfId="0" applyNumberFormat="1" applyBorder="1" applyAlignment="1">
      <alignment horizontal="center" vertical="center"/>
    </xf>
    <xf numFmtId="176" fontId="0" fillId="0" borderId="7" xfId="1" applyNumberFormat="1" applyFont="1" applyBorder="1" applyAlignment="1">
      <alignment horizontal="center" vertical="center"/>
    </xf>
    <xf numFmtId="0" fontId="15" fillId="0" borderId="0" xfId="0" applyFont="1" applyAlignment="1">
      <alignment horizontal="center"/>
    </xf>
    <xf numFmtId="178" fontId="17" fillId="0" borderId="0" xfId="0" applyNumberFormat="1" applyFont="1"/>
    <xf numFmtId="178" fontId="0" fillId="0" borderId="0" xfId="0" applyNumberFormat="1"/>
    <xf numFmtId="0" fontId="17" fillId="0" borderId="0" xfId="0" applyFont="1" applyAlignment="1">
      <alignment horizontal="right"/>
    </xf>
    <xf numFmtId="0" fontId="15" fillId="0" borderId="0" xfId="0" applyFont="1" applyAlignment="1">
      <alignment horizontal="right"/>
    </xf>
    <xf numFmtId="0" fontId="13" fillId="0" borderId="13" xfId="0" applyFont="1" applyBorder="1"/>
    <xf numFmtId="1" fontId="13" fillId="0" borderId="13" xfId="0" applyNumberFormat="1" applyFont="1" applyBorder="1" applyAlignment="1">
      <alignment horizontal="center"/>
    </xf>
    <xf numFmtId="1" fontId="0" fillId="3" borderId="13" xfId="0" applyNumberFormat="1" applyFill="1" applyBorder="1"/>
    <xf numFmtId="1" fontId="13" fillId="0" borderId="0" xfId="0" applyNumberFormat="1" applyFont="1" applyAlignment="1">
      <alignment horizontal="center"/>
    </xf>
    <xf numFmtId="1" fontId="0" fillId="0" borderId="0" xfId="0" applyNumberFormat="1"/>
    <xf numFmtId="2" fontId="13" fillId="0" borderId="24" xfId="0" applyNumberFormat="1" applyFont="1" applyBorder="1"/>
    <xf numFmtId="0" fontId="13" fillId="0" borderId="24" xfId="0" applyFont="1" applyBorder="1"/>
    <xf numFmtId="1" fontId="13" fillId="0" borderId="24" xfId="0" applyNumberFormat="1" applyFont="1" applyBorder="1" applyAlignment="1">
      <alignment horizontal="center"/>
    </xf>
    <xf numFmtId="2" fontId="0" fillId="0" borderId="24" xfId="0" applyNumberFormat="1" applyBorder="1"/>
    <xf numFmtId="1" fontId="0" fillId="0" borderId="24" xfId="0" applyNumberFormat="1" applyBorder="1"/>
    <xf numFmtId="0" fontId="12" fillId="0" borderId="0" xfId="0" applyFont="1"/>
    <xf numFmtId="2" fontId="12" fillId="4" borderId="17" xfId="0" applyNumberFormat="1" applyFont="1" applyFill="1" applyBorder="1" applyAlignment="1">
      <alignment horizontal="center" vertical="center" wrapText="1"/>
    </xf>
    <xf numFmtId="0" fontId="0" fillId="0" borderId="24" xfId="0" applyBorder="1"/>
    <xf numFmtId="43" fontId="4" fillId="0" borderId="5" xfId="1"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right"/>
    </xf>
    <xf numFmtId="9" fontId="0" fillId="5" borderId="7" xfId="0" applyNumberFormat="1" applyFill="1" applyBorder="1" applyAlignment="1">
      <alignment horizontal="center" vertical="center" wrapText="1"/>
    </xf>
    <xf numFmtId="166" fontId="0" fillId="6" borderId="7" xfId="3" applyNumberFormat="1" applyFont="1" applyFill="1" applyBorder="1" applyAlignment="1">
      <alignment horizontal="center"/>
    </xf>
    <xf numFmtId="9" fontId="0" fillId="5" borderId="7" xfId="0" applyNumberFormat="1" applyFill="1" applyBorder="1" applyAlignment="1">
      <alignment horizontal="center"/>
    </xf>
    <xf numFmtId="0" fontId="0" fillId="0" borderId="11" xfId="0" applyBorder="1" applyAlignment="1">
      <alignment horizontal="center" vertical="center"/>
    </xf>
    <xf numFmtId="0" fontId="0" fillId="13" borderId="11" xfId="0" applyFill="1" applyBorder="1" applyAlignment="1">
      <alignment horizontal="center" vertical="center"/>
    </xf>
    <xf numFmtId="0" fontId="0" fillId="0" borderId="11" xfId="0" applyBorder="1" applyAlignment="1">
      <alignment vertical="center"/>
    </xf>
    <xf numFmtId="0" fontId="0" fillId="0" borderId="11" xfId="0" applyBorder="1" applyAlignment="1">
      <alignment horizontal="left" vertical="center"/>
    </xf>
    <xf numFmtId="0" fontId="7" fillId="0" borderId="5" xfId="0" applyFont="1" applyBorder="1" applyAlignment="1">
      <alignment horizontal="center" vertical="center"/>
    </xf>
    <xf numFmtId="0" fontId="24" fillId="0" borderId="5" xfId="0" applyFont="1" applyBorder="1" applyAlignment="1">
      <alignment horizontal="center" vertical="center"/>
    </xf>
    <xf numFmtId="0" fontId="7" fillId="0" borderId="5" xfId="0" applyFont="1" applyBorder="1" applyAlignment="1">
      <alignment horizontal="left" vertical="center"/>
    </xf>
    <xf numFmtId="0" fontId="34" fillId="14" borderId="7" xfId="0" applyFont="1" applyFill="1" applyBorder="1" applyAlignment="1">
      <alignment horizontal="center" vertical="center"/>
    </xf>
    <xf numFmtId="0" fontId="7" fillId="0" borderId="7" xfId="0" applyFont="1" applyBorder="1" applyAlignment="1">
      <alignment horizontal="center" vertical="center"/>
    </xf>
    <xf numFmtId="0" fontId="7" fillId="0" borderId="7" xfId="0" applyFont="1" applyBorder="1" applyAlignment="1">
      <alignment horizontal="left" vertical="center"/>
    </xf>
    <xf numFmtId="0" fontId="22" fillId="0" borderId="7" xfId="0" applyFont="1" applyBorder="1" applyAlignment="1">
      <alignment horizontal="center" vertical="center"/>
    </xf>
    <xf numFmtId="0" fontId="31" fillId="0" borderId="7" xfId="0" applyFont="1" applyBorder="1" applyAlignment="1">
      <alignment horizontal="center" vertical="center" readingOrder="1"/>
    </xf>
    <xf numFmtId="0" fontId="24" fillId="0" borderId="7" xfId="0" applyFont="1" applyBorder="1" applyAlignment="1">
      <alignment horizontal="left" vertical="center"/>
    </xf>
    <xf numFmtId="0" fontId="23" fillId="0" borderId="7" xfId="0" applyFont="1" applyBorder="1" applyAlignment="1">
      <alignment horizontal="left" vertical="center"/>
    </xf>
    <xf numFmtId="0" fontId="21" fillId="0" borderId="0" xfId="0" applyFont="1"/>
    <xf numFmtId="0" fontId="22" fillId="0" borderId="13" xfId="0" applyFont="1" applyBorder="1" applyAlignment="1">
      <alignment horizontal="center" vertical="center"/>
    </xf>
    <xf numFmtId="0" fontId="24" fillId="0" borderId="6" xfId="0" applyFont="1" applyBorder="1" applyAlignment="1">
      <alignment horizontal="left" vertical="center"/>
    </xf>
    <xf numFmtId="0" fontId="25" fillId="0" borderId="7" xfId="0" applyFont="1" applyBorder="1" applyAlignment="1">
      <alignment horizontal="left" vertical="center"/>
    </xf>
    <xf numFmtId="0" fontId="34" fillId="0" borderId="17" xfId="0" applyFont="1" applyBorder="1" applyAlignment="1">
      <alignment horizontal="center" vertical="center"/>
    </xf>
    <xf numFmtId="0" fontId="22" fillId="2" borderId="5" xfId="0" applyFont="1" applyFill="1" applyBorder="1" applyAlignment="1">
      <alignment horizontal="center" vertical="center"/>
    </xf>
    <xf numFmtId="0" fontId="32" fillId="0" borderId="5" xfId="0" applyFont="1" applyBorder="1" applyAlignment="1">
      <alignment horizontal="left" vertical="center"/>
    </xf>
    <xf numFmtId="0" fontId="33" fillId="0" borderId="7" xfId="0" applyFont="1" applyBorder="1" applyAlignment="1">
      <alignment horizontal="left" vertical="center"/>
    </xf>
    <xf numFmtId="0" fontId="32" fillId="0" borderId="7" xfId="0" applyFont="1" applyBorder="1" applyAlignment="1">
      <alignment horizontal="left" vertical="center"/>
    </xf>
    <xf numFmtId="0" fontId="40" fillId="0" borderId="7" xfId="0" applyFont="1" applyBorder="1" applyAlignment="1">
      <alignment horizontal="left" vertical="center"/>
    </xf>
    <xf numFmtId="0" fontId="33" fillId="0" borderId="0" xfId="0" applyFont="1" applyAlignment="1">
      <alignment wrapText="1"/>
    </xf>
    <xf numFmtId="0" fontId="5" fillId="0" borderId="0" xfId="0" applyFont="1" applyAlignment="1">
      <alignment wrapText="1"/>
    </xf>
    <xf numFmtId="0" fontId="18" fillId="0" borderId="7" xfId="0" applyFont="1" applyBorder="1" applyAlignment="1">
      <alignment horizontal="left" vertical="center"/>
    </xf>
    <xf numFmtId="0" fontId="15" fillId="14" borderId="1" xfId="0" applyFont="1" applyFill="1" applyBorder="1" applyAlignment="1">
      <alignment vertical="center"/>
    </xf>
    <xf numFmtId="0" fontId="15" fillId="14" borderId="3" xfId="0" applyFont="1" applyFill="1" applyBorder="1" applyAlignment="1">
      <alignment horizontal="left" vertical="center"/>
    </xf>
    <xf numFmtId="0" fontId="15" fillId="14" borderId="1" xfId="0" applyFont="1" applyFill="1" applyBorder="1" applyAlignment="1">
      <alignment horizontal="left"/>
    </xf>
    <xf numFmtId="0" fontId="15" fillId="14" borderId="3" xfId="0" applyFont="1" applyFill="1" applyBorder="1" applyAlignment="1">
      <alignment horizontal="left"/>
    </xf>
    <xf numFmtId="0" fontId="15" fillId="14" borderId="7" xfId="0" applyFont="1" applyFill="1" applyBorder="1" applyAlignment="1">
      <alignment horizontal="left"/>
    </xf>
    <xf numFmtId="0" fontId="17" fillId="0" borderId="8" xfId="0" applyFont="1" applyBorder="1" applyAlignment="1">
      <alignment vertical="center"/>
    </xf>
    <xf numFmtId="0" fontId="17" fillId="0" borderId="8" xfId="0" applyFont="1" applyBorder="1"/>
    <xf numFmtId="178" fontId="17" fillId="0" borderId="15" xfId="0" applyNumberFormat="1" applyFont="1" applyBorder="1"/>
    <xf numFmtId="0" fontId="17" fillId="0" borderId="15" xfId="0" applyFont="1" applyBorder="1" applyAlignment="1">
      <alignment vertical="center"/>
    </xf>
    <xf numFmtId="0" fontId="18" fillId="0" borderId="7" xfId="0" applyFont="1" applyBorder="1" applyAlignment="1">
      <alignment horizontal="left"/>
    </xf>
    <xf numFmtId="0" fontId="18" fillId="0" borderId="7" xfId="0" applyFont="1" applyBorder="1" applyAlignment="1">
      <alignment horizontal="left" wrapText="1"/>
    </xf>
    <xf numFmtId="0" fontId="13" fillId="0" borderId="21" xfId="0" applyFont="1" applyBorder="1" applyAlignment="1">
      <alignment horizontal="left" vertical="center"/>
    </xf>
    <xf numFmtId="0" fontId="13" fillId="0" borderId="16" xfId="0" applyFont="1" applyBorder="1" applyAlignment="1">
      <alignment horizontal="left" vertical="center"/>
    </xf>
    <xf numFmtId="0" fontId="0" fillId="0" borderId="7" xfId="0" applyBorder="1" applyAlignment="1">
      <alignment horizontal="left"/>
    </xf>
    <xf numFmtId="0" fontId="13" fillId="0" borderId="1" xfId="0" applyFont="1" applyBorder="1" applyAlignment="1">
      <alignment horizontal="left" vertical="center" wrapText="1"/>
    </xf>
    <xf numFmtId="0" fontId="0" fillId="0" borderId="15" xfId="0" applyBorder="1"/>
    <xf numFmtId="0" fontId="2" fillId="4" borderId="8" xfId="0" applyFont="1" applyFill="1" applyBorder="1" applyAlignment="1">
      <alignment horizontal="center" vertical="center" wrapText="1"/>
    </xf>
    <xf numFmtId="0" fontId="2" fillId="7" borderId="1" xfId="0" applyFont="1" applyFill="1" applyBorder="1" applyAlignment="1">
      <alignment horizontal="center" vertical="center"/>
    </xf>
    <xf numFmtId="0" fontId="2" fillId="0" borderId="1" xfId="0" applyFont="1" applyBorder="1" applyAlignment="1">
      <alignment horizontal="center" vertical="center"/>
    </xf>
    <xf numFmtId="0" fontId="21" fillId="0" borderId="7" xfId="0" applyFont="1" applyBorder="1" applyAlignment="1">
      <alignment horizontal="center" vertical="center"/>
    </xf>
    <xf numFmtId="0" fontId="17" fillId="0" borderId="0" xfId="0" quotePrefix="1" applyFont="1"/>
    <xf numFmtId="3" fontId="21" fillId="0" borderId="7" xfId="0" applyNumberFormat="1" applyFont="1" applyBorder="1" applyAlignment="1">
      <alignment horizontal="center" vertical="center"/>
    </xf>
    <xf numFmtId="3" fontId="21" fillId="0" borderId="7" xfId="0" applyNumberFormat="1" applyFont="1" applyBorder="1" applyAlignment="1">
      <alignment horizontal="center" vertical="center" wrapText="1"/>
    </xf>
    <xf numFmtId="0" fontId="21" fillId="0" borderId="7" xfId="0" applyFont="1" applyBorder="1" applyAlignment="1">
      <alignment horizontal="center" vertical="center" wrapText="1"/>
    </xf>
    <xf numFmtId="0" fontId="15" fillId="0" borderId="0" xfId="0" applyFont="1"/>
    <xf numFmtId="0" fontId="6" fillId="4" borderId="7" xfId="0" applyFont="1" applyFill="1" applyBorder="1"/>
    <xf numFmtId="0" fontId="46" fillId="0" borderId="3" xfId="0" applyFont="1" applyBorder="1"/>
    <xf numFmtId="10" fontId="46" fillId="0" borderId="3" xfId="0" applyNumberFormat="1" applyFont="1" applyBorder="1"/>
    <xf numFmtId="10" fontId="46" fillId="0" borderId="15" xfId="0" applyNumberFormat="1" applyFont="1" applyBorder="1"/>
    <xf numFmtId="0" fontId="17" fillId="7" borderId="0" xfId="0" applyFont="1" applyFill="1"/>
    <xf numFmtId="179" fontId="17" fillId="7" borderId="0" xfId="0" applyNumberFormat="1" applyFont="1" applyFill="1"/>
    <xf numFmtId="0" fontId="4" fillId="7" borderId="0" xfId="0" applyFont="1" applyFill="1" applyAlignment="1">
      <alignment horizontal="center"/>
    </xf>
    <xf numFmtId="10" fontId="46" fillId="0" borderId="26" xfId="0" applyNumberFormat="1" applyFont="1" applyBorder="1"/>
    <xf numFmtId="10" fontId="46" fillId="0" borderId="7" xfId="0" applyNumberFormat="1" applyFont="1" applyBorder="1"/>
    <xf numFmtId="0" fontId="20" fillId="0" borderId="27" xfId="0" applyFont="1" applyBorder="1"/>
    <xf numFmtId="173" fontId="46" fillId="0" borderId="3" xfId="0" applyNumberFormat="1" applyFont="1" applyBorder="1"/>
    <xf numFmtId="173" fontId="46" fillId="0" borderId="15" xfId="0" applyNumberFormat="1" applyFont="1" applyBorder="1"/>
    <xf numFmtId="0" fontId="42" fillId="15" borderId="21" xfId="0" applyFont="1" applyFill="1" applyBorder="1" applyAlignment="1">
      <alignment horizontal="center" vertical="center"/>
    </xf>
    <xf numFmtId="0" fontId="15" fillId="0" borderId="0" xfId="0" applyFont="1" applyAlignment="1">
      <alignment horizontal="center"/>
    </xf>
    <xf numFmtId="0" fontId="17" fillId="2" borderId="7" xfId="0" applyFont="1" applyFill="1" applyBorder="1" applyAlignment="1">
      <alignment horizontal="center" vertical="center"/>
    </xf>
    <xf numFmtId="0" fontId="15" fillId="13" borderId="7" xfId="0" applyFont="1" applyFill="1" applyBorder="1" applyAlignment="1">
      <alignment horizontal="center" vertical="center"/>
    </xf>
    <xf numFmtId="0" fontId="15" fillId="4" borderId="7" xfId="0" applyFont="1" applyFill="1" applyBorder="1" applyAlignment="1">
      <alignment horizontal="center" wrapText="1"/>
    </xf>
    <xf numFmtId="0" fontId="15" fillId="4" borderId="7" xfId="0" applyFont="1" applyFill="1" applyBorder="1" applyAlignment="1">
      <alignment horizontal="center" vertical="center" wrapText="1"/>
    </xf>
    <xf numFmtId="0" fontId="44" fillId="4" borderId="7" xfId="0" applyFont="1" applyFill="1" applyBorder="1" applyAlignment="1">
      <alignment horizontal="center" vertical="center"/>
    </xf>
    <xf numFmtId="0" fontId="17" fillId="2" borderId="7" xfId="0" applyFont="1" applyFill="1" applyBorder="1" applyAlignment="1">
      <alignment vertical="center"/>
    </xf>
    <xf numFmtId="0" fontId="15" fillId="0" borderId="7" xfId="0" applyFont="1" applyBorder="1" applyAlignment="1">
      <alignment horizontal="center" vertical="center" wrapText="1"/>
    </xf>
    <xf numFmtId="0" fontId="44" fillId="0" borderId="7" xfId="0" applyFont="1" applyBorder="1" applyAlignment="1">
      <alignment horizontal="center" vertical="center"/>
    </xf>
    <xf numFmtId="0" fontId="42" fillId="15" borderId="21" xfId="0" applyFont="1" applyFill="1" applyBorder="1" applyAlignment="1">
      <alignment horizontal="center"/>
    </xf>
    <xf numFmtId="0" fontId="15" fillId="2" borderId="7" xfId="0" applyFont="1" applyFill="1" applyBorder="1" applyAlignment="1">
      <alignment horizontal="center" vertical="center"/>
    </xf>
    <xf numFmtId="0" fontId="15" fillId="2" borderId="7" xfId="0" applyFont="1" applyFill="1" applyBorder="1" applyAlignment="1">
      <alignment horizontal="center" vertical="center" wrapText="1"/>
    </xf>
    <xf numFmtId="0" fontId="42" fillId="15" borderId="7" xfId="0" applyFont="1" applyFill="1" applyBorder="1" applyAlignment="1">
      <alignment horizontal="center" vertical="center"/>
    </xf>
    <xf numFmtId="0" fontId="37" fillId="4" borderId="7" xfId="0" applyFont="1" applyFill="1" applyBorder="1" applyAlignment="1">
      <alignment horizontal="center" vertical="center"/>
    </xf>
    <xf numFmtId="0" fontId="38" fillId="0" borderId="17" xfId="0" applyFont="1" applyBorder="1" applyAlignment="1">
      <alignment horizontal="center" vertical="center"/>
    </xf>
    <xf numFmtId="0" fontId="38" fillId="0" borderId="7" xfId="0" applyFont="1" applyBorder="1" applyAlignment="1">
      <alignment horizontal="center" vertical="center"/>
    </xf>
    <xf numFmtId="0" fontId="22" fillId="0" borderId="7" xfId="0" applyFont="1" applyBorder="1" applyAlignment="1">
      <alignment horizontal="center" vertical="center"/>
    </xf>
    <xf numFmtId="0" fontId="41" fillId="14" borderId="9" xfId="0" applyFont="1" applyFill="1" applyBorder="1" applyAlignment="1">
      <alignment horizontal="center" vertical="center" wrapText="1"/>
    </xf>
    <xf numFmtId="0" fontId="35" fillId="14" borderId="7" xfId="0" applyFont="1" applyFill="1" applyBorder="1" applyAlignment="1">
      <alignment horizontal="center" vertical="center"/>
    </xf>
    <xf numFmtId="0" fontId="21" fillId="0" borderId="7" xfId="0" applyFont="1" applyBorder="1" applyAlignment="1">
      <alignment horizontal="center" vertical="center"/>
    </xf>
    <xf numFmtId="0" fontId="38" fillId="4" borderId="7" xfId="0" applyFont="1" applyFill="1" applyBorder="1" applyAlignment="1">
      <alignment horizontal="center" vertical="center"/>
    </xf>
    <xf numFmtId="0" fontId="42" fillId="15" borderId="0" xfId="0" applyFont="1" applyFill="1" applyAlignment="1">
      <alignment horizontal="center" vertical="center"/>
    </xf>
    <xf numFmtId="0" fontId="4" fillId="14" borderId="1" xfId="0" applyFont="1" applyFill="1" applyBorder="1" applyAlignment="1">
      <alignment horizontal="center" vertical="center" wrapText="1"/>
    </xf>
    <xf numFmtId="0" fontId="15" fillId="14" borderId="2" xfId="0" applyFont="1" applyFill="1" applyBorder="1" applyAlignment="1">
      <alignment horizontal="center" wrapText="1"/>
    </xf>
    <xf numFmtId="0" fontId="15" fillId="14" borderId="14" xfId="0" applyFont="1" applyFill="1" applyBorder="1" applyAlignment="1">
      <alignment horizontal="center" wrapText="1"/>
    </xf>
    <xf numFmtId="0" fontId="15" fillId="14" borderId="3" xfId="0" applyFont="1" applyFill="1" applyBorder="1" applyAlignment="1">
      <alignment horizontal="center" wrapText="1"/>
    </xf>
    <xf numFmtId="0" fontId="42" fillId="15" borderId="4" xfId="0" applyFont="1" applyFill="1" applyBorder="1" applyAlignment="1">
      <alignment horizontal="center" vertical="center"/>
    </xf>
    <xf numFmtId="0" fontId="12" fillId="4" borderId="7" xfId="0" applyFont="1" applyFill="1" applyBorder="1" applyAlignment="1">
      <alignment horizontal="center" vertical="center" wrapText="1"/>
    </xf>
    <xf numFmtId="0" fontId="0" fillId="0" borderId="23" xfId="0" applyBorder="1" applyAlignment="1">
      <alignment horizontal="left"/>
    </xf>
    <xf numFmtId="0" fontId="0" fillId="0" borderId="25" xfId="0" applyBorder="1" applyAlignment="1">
      <alignment horizontal="left"/>
    </xf>
    <xf numFmtId="0" fontId="0" fillId="0" borderId="6" xfId="0" applyBorder="1" applyAlignment="1">
      <alignment horizontal="left"/>
    </xf>
    <xf numFmtId="0" fontId="0" fillId="0" borderId="17" xfId="0" applyBorder="1" applyAlignment="1">
      <alignment horizontal="left"/>
    </xf>
    <xf numFmtId="0" fontId="0" fillId="0" borderId="22" xfId="0" applyBorder="1" applyAlignment="1">
      <alignment horizontal="left"/>
    </xf>
    <xf numFmtId="0" fontId="0" fillId="0" borderId="20" xfId="0" applyBorder="1" applyAlignment="1">
      <alignment horizontal="left"/>
    </xf>
    <xf numFmtId="0" fontId="45" fillId="15" borderId="1" xfId="0" applyFont="1" applyFill="1" applyBorder="1" applyAlignment="1">
      <alignment horizontal="center"/>
    </xf>
    <xf numFmtId="0" fontId="48" fillId="14" borderId="0" xfId="0" applyFont="1" applyFill="1" applyAlignment="1">
      <alignment vertical="top" wrapText="1"/>
    </xf>
    <xf numFmtId="0" fontId="0" fillId="14" borderId="0" xfId="0" applyFill="1" applyAlignment="1"/>
    <xf numFmtId="0" fontId="9" fillId="0" borderId="0" xfId="0" applyFont="1" applyAlignment="1"/>
    <xf numFmtId="0" fontId="0" fillId="0" borderId="0" xfId="0" applyAlignment="1"/>
  </cellXfs>
  <cellStyles count="5">
    <cellStyle name="Hyperlink" xfId="4" xr:uid="{A216A911-B9F2-4036-A721-017BC7F2818B}"/>
    <cellStyle name="Millares" xfId="1" builtinId="3"/>
    <cellStyle name="Moneda" xfId="2" builtinId="4"/>
    <cellStyle name="Normal" xfId="0" builtinId="0"/>
    <cellStyle name="Porcentaje" xfId="3" builtinId="5"/>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69E69-678A-4286-BB43-04B0170918D0}">
  <dimension ref="A1:AP90"/>
  <sheetViews>
    <sheetView zoomScale="70" zoomScaleNormal="70" workbookViewId="0">
      <selection activeCell="H25" sqref="H25"/>
    </sheetView>
  </sheetViews>
  <sheetFormatPr defaultColWidth="8.7109375" defaultRowHeight="14.45"/>
  <cols>
    <col min="1" max="1" width="4.42578125" bestFit="1" customWidth="1"/>
    <col min="2" max="2" width="26.42578125" bestFit="1" customWidth="1"/>
    <col min="3" max="3" width="13.42578125" customWidth="1"/>
    <col min="4" max="4" width="11.85546875" customWidth="1"/>
    <col min="5" max="8" width="13.85546875" bestFit="1" customWidth="1"/>
    <col min="9" max="9" width="17" bestFit="1" customWidth="1"/>
    <col min="10" max="13" width="13.85546875" bestFit="1" customWidth="1"/>
    <col min="14" max="18" width="11.42578125" bestFit="1" customWidth="1"/>
    <col min="19" max="22" width="12.85546875" bestFit="1" customWidth="1"/>
    <col min="23" max="23" width="11.85546875" bestFit="1" customWidth="1"/>
    <col min="24" max="24" width="12.85546875" bestFit="1" customWidth="1"/>
    <col min="25" max="25" width="16.42578125" customWidth="1"/>
    <col min="26" max="26" width="11.140625" customWidth="1"/>
    <col min="27" max="27" width="14.42578125" customWidth="1"/>
    <col min="32" max="33" width="11.7109375" customWidth="1"/>
    <col min="34" max="34" width="13.140625" customWidth="1"/>
    <col min="36" max="36" width="11.42578125" bestFit="1" customWidth="1"/>
    <col min="37" max="37" width="12.28515625" customWidth="1"/>
  </cols>
  <sheetData>
    <row r="1" spans="1:42" s="128" customFormat="1" ht="32.25" customHeight="1">
      <c r="A1" s="269" t="s">
        <v>0</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row>
    <row r="2" spans="1:42">
      <c r="A2" s="273" t="s">
        <v>1</v>
      </c>
      <c r="B2" s="273"/>
      <c r="C2" s="274" t="s">
        <v>2</v>
      </c>
      <c r="D2" s="275" t="s">
        <v>3</v>
      </c>
      <c r="E2" s="275"/>
      <c r="F2" s="275"/>
      <c r="G2" s="275"/>
      <c r="H2" s="275"/>
      <c r="I2" s="275" t="s">
        <v>4</v>
      </c>
      <c r="J2" s="275"/>
      <c r="K2" s="275"/>
      <c r="L2" s="275"/>
      <c r="M2" s="275"/>
      <c r="N2" s="275" t="s">
        <v>5</v>
      </c>
      <c r="O2" s="275"/>
      <c r="P2" s="275"/>
      <c r="Q2" s="275"/>
      <c r="R2" s="275"/>
      <c r="S2" s="275" t="s">
        <v>6</v>
      </c>
      <c r="T2" s="275"/>
      <c r="U2" s="275"/>
      <c r="V2" s="275"/>
      <c r="W2" s="275"/>
      <c r="X2" s="275"/>
      <c r="Y2" s="275"/>
      <c r="Z2" s="275"/>
      <c r="AA2" s="275"/>
      <c r="AB2" s="275" t="s">
        <v>7</v>
      </c>
      <c r="AC2" s="275"/>
      <c r="AD2" s="275"/>
      <c r="AE2" s="275"/>
      <c r="AF2" s="275"/>
      <c r="AG2" s="275"/>
      <c r="AH2" s="275"/>
      <c r="AI2" s="276" t="s">
        <v>8</v>
      </c>
      <c r="AJ2" s="271" t="s">
        <v>9</v>
      </c>
      <c r="AK2" s="272" t="s">
        <v>10</v>
      </c>
      <c r="AL2" s="27"/>
    </row>
    <row r="3" spans="1:42">
      <c r="A3" s="273"/>
      <c r="B3" s="273"/>
      <c r="C3" s="274"/>
      <c r="D3" s="275"/>
      <c r="E3" s="275"/>
      <c r="F3" s="275"/>
      <c r="G3" s="275"/>
      <c r="H3" s="275"/>
      <c r="I3" s="275"/>
      <c r="J3" s="275"/>
      <c r="K3" s="275"/>
      <c r="L3" s="275"/>
      <c r="M3" s="275"/>
      <c r="N3" s="275"/>
      <c r="O3" s="275"/>
      <c r="P3" s="275"/>
      <c r="Q3" s="275"/>
      <c r="R3" s="275"/>
      <c r="S3" s="275"/>
      <c r="T3" s="275"/>
      <c r="U3" s="275"/>
      <c r="V3" s="275"/>
      <c r="W3" s="275"/>
      <c r="X3" s="275"/>
      <c r="Y3" s="275"/>
      <c r="Z3" s="275"/>
      <c r="AA3" s="275"/>
      <c r="AB3" s="275"/>
      <c r="AC3" s="275"/>
      <c r="AD3" s="275"/>
      <c r="AE3" s="275"/>
      <c r="AF3" s="275"/>
      <c r="AG3" s="275"/>
      <c r="AH3" s="275"/>
      <c r="AI3" s="276"/>
      <c r="AJ3" s="271"/>
      <c r="AK3" s="272"/>
      <c r="AL3" s="27"/>
    </row>
    <row r="4" spans="1:42" s="11" customFormat="1" ht="43.5">
      <c r="A4" s="117" t="s">
        <v>11</v>
      </c>
      <c r="B4" s="118" t="s">
        <v>12</v>
      </c>
      <c r="C4" s="274"/>
      <c r="D4" s="117">
        <v>2021</v>
      </c>
      <c r="E4" s="117">
        <v>2022</v>
      </c>
      <c r="F4" s="117">
        <v>2023</v>
      </c>
      <c r="G4" s="117">
        <v>2024</v>
      </c>
      <c r="H4" s="117">
        <v>2025</v>
      </c>
      <c r="I4" s="117">
        <v>2021</v>
      </c>
      <c r="J4" s="117">
        <v>2022</v>
      </c>
      <c r="K4" s="117">
        <v>2023</v>
      </c>
      <c r="L4" s="117">
        <v>2024</v>
      </c>
      <c r="M4" s="117">
        <v>2025</v>
      </c>
      <c r="N4" s="117">
        <v>2021</v>
      </c>
      <c r="O4" s="117">
        <v>2022</v>
      </c>
      <c r="P4" s="117">
        <v>2023</v>
      </c>
      <c r="Q4" s="117">
        <v>2024</v>
      </c>
      <c r="R4" s="117">
        <v>2025</v>
      </c>
      <c r="S4" s="117">
        <v>2021</v>
      </c>
      <c r="T4" s="117">
        <v>2022</v>
      </c>
      <c r="U4" s="117">
        <v>2023</v>
      </c>
      <c r="V4" s="117">
        <v>2024</v>
      </c>
      <c r="W4" s="117">
        <v>2025</v>
      </c>
      <c r="X4" s="117" t="s">
        <v>13</v>
      </c>
      <c r="Y4" s="116" t="s">
        <v>14</v>
      </c>
      <c r="Z4" s="116" t="s">
        <v>15</v>
      </c>
      <c r="AA4" s="117" t="s">
        <v>16</v>
      </c>
      <c r="AB4" s="117">
        <v>2021</v>
      </c>
      <c r="AC4" s="117">
        <v>2022</v>
      </c>
      <c r="AD4" s="117">
        <v>2023</v>
      </c>
      <c r="AE4" s="117">
        <v>2024</v>
      </c>
      <c r="AF4" s="117">
        <v>2025</v>
      </c>
      <c r="AG4" s="117" t="s">
        <v>13</v>
      </c>
      <c r="AH4" s="117" t="s">
        <v>17</v>
      </c>
      <c r="AI4" s="89">
        <v>0.5</v>
      </c>
      <c r="AJ4" s="89">
        <v>0.5</v>
      </c>
      <c r="AK4" s="272"/>
      <c r="AL4" s="85"/>
    </row>
    <row r="5" spans="1:42" ht="15.95">
      <c r="A5" s="86">
        <v>1</v>
      </c>
      <c r="B5" s="241" t="s">
        <v>18</v>
      </c>
      <c r="C5" s="82" t="s">
        <v>19</v>
      </c>
      <c r="D5" s="136">
        <v>49946.18</v>
      </c>
      <c r="E5" s="136">
        <v>48015.9</v>
      </c>
      <c r="F5" s="136">
        <v>2779.29</v>
      </c>
      <c r="G5" s="136">
        <v>56582.03</v>
      </c>
      <c r="H5" s="136">
        <v>31867.61</v>
      </c>
      <c r="I5" s="136">
        <v>958.22852999999998</v>
      </c>
      <c r="J5" s="136">
        <v>1246.1190999999999</v>
      </c>
      <c r="K5" s="136">
        <v>1898.8761</v>
      </c>
      <c r="L5" s="136">
        <v>1402.99017</v>
      </c>
      <c r="M5" s="136">
        <v>929.15800999999999</v>
      </c>
      <c r="N5" s="136">
        <v>43578.746220000001</v>
      </c>
      <c r="O5" s="136">
        <v>37086.133000000002</v>
      </c>
      <c r="P5" s="136">
        <v>25080.414140000001</v>
      </c>
      <c r="Q5" s="136">
        <v>27037.55514</v>
      </c>
      <c r="R5" s="136">
        <v>41710.303520000001</v>
      </c>
      <c r="S5" s="136">
        <f t="shared" ref="S5:W6" si="0">+D5-I5+N5</f>
        <v>92566.697690000001</v>
      </c>
      <c r="T5" s="136">
        <f t="shared" si="0"/>
        <v>83855.9139</v>
      </c>
      <c r="U5" s="136">
        <f t="shared" si="0"/>
        <v>25960.82804</v>
      </c>
      <c r="V5" s="136">
        <f t="shared" si="0"/>
        <v>82216.594970000006</v>
      </c>
      <c r="W5" s="136">
        <f t="shared" si="0"/>
        <v>72648.755510000003</v>
      </c>
      <c r="X5" s="136">
        <f>+SUM(S5:W5)/COUNT(S5:W5)</f>
        <v>71449.758021999995</v>
      </c>
      <c r="Y5" s="136">
        <f>+IF(X5&gt;0,X5,X5*-1)</f>
        <v>71449.758021999995</v>
      </c>
      <c r="Z5" s="253">
        <v>2629</v>
      </c>
      <c r="AA5" s="136">
        <f>+Y5*Z5</f>
        <v>187841413.839838</v>
      </c>
      <c r="AB5" s="147">
        <f t="shared" ref="AB5:AF6" si="1">N5/S5</f>
        <v>0.47078212043323031</v>
      </c>
      <c r="AC5" s="147">
        <f t="shared" si="1"/>
        <v>0.4422601969877285</v>
      </c>
      <c r="AD5" s="147">
        <f t="shared" si="1"/>
        <v>0.9660868328759209</v>
      </c>
      <c r="AE5" s="147">
        <f t="shared" si="1"/>
        <v>0.32885763695110126</v>
      </c>
      <c r="AF5" s="147">
        <f t="shared" si="1"/>
        <v>0.57413651792367781</v>
      </c>
      <c r="AG5" s="147">
        <f>+SUM(AB5:AF5)/COUNT(AB5:AF5)</f>
        <v>0.55642466103433175</v>
      </c>
      <c r="AH5" s="147">
        <f>+IF(AG5&gt;0,AG5,AG5*-1)</f>
        <v>0.55642466103433175</v>
      </c>
      <c r="AI5" s="126">
        <f t="shared" ref="AI5:AI39" si="2">IF(AA5=0,$D$56,IF(AA5&lt;=$C$45,$D$51,IF(AA5&lt;=$C$46,$D$52,IF(AA5&lt;=$C$47,$D$53,IF(AA5&lt;=$C$48,$D$54,$D$55)))))</f>
        <v>100</v>
      </c>
      <c r="AJ5" s="126">
        <f t="shared" ref="AJ5:AJ39" si="3">IF(AH5=0,$J$56,IF(AH5&lt;=$I$45,$J$51,IF(AH5&lt;=$I$46,$J$52,IF(AH5&lt;=$I$47,$J$53,IF(AH5&lt;=$I$48,$J$54,$J$55)))))</f>
        <v>60</v>
      </c>
      <c r="AK5" s="148">
        <f t="shared" ref="AK5:AK39" si="4">+(AI5*$AI$4)+(AJ5*$AJ$4)</f>
        <v>80</v>
      </c>
      <c r="AL5" s="27"/>
    </row>
    <row r="6" spans="1:42" ht="15.95">
      <c r="A6" s="86">
        <v>2</v>
      </c>
      <c r="B6" s="241" t="s">
        <v>20</v>
      </c>
      <c r="C6" s="82" t="s">
        <v>19</v>
      </c>
      <c r="D6" s="136">
        <v>916466.77</v>
      </c>
      <c r="E6" s="136">
        <v>480251.79</v>
      </c>
      <c r="F6" s="136">
        <v>1143191.48</v>
      </c>
      <c r="G6" s="136">
        <v>1085650.06</v>
      </c>
      <c r="H6" s="136">
        <v>746841.43</v>
      </c>
      <c r="I6" s="136">
        <v>579.14702999999997</v>
      </c>
      <c r="J6" s="136">
        <v>594.42228999999998</v>
      </c>
      <c r="K6" s="136">
        <v>1073.2641100000001</v>
      </c>
      <c r="L6" s="136">
        <v>7844.3770999999997</v>
      </c>
      <c r="M6" s="136">
        <v>12968.59103</v>
      </c>
      <c r="N6" s="136">
        <v>9280.2260100000003</v>
      </c>
      <c r="O6" s="136">
        <v>2182.7459899999999</v>
      </c>
      <c r="P6" s="136">
        <v>1822.5436099999999</v>
      </c>
      <c r="Q6" s="136">
        <v>2349.1279300000001</v>
      </c>
      <c r="R6" s="136">
        <v>5315.2861300000004</v>
      </c>
      <c r="S6" s="136">
        <f t="shared" si="0"/>
        <v>925167.84898000001</v>
      </c>
      <c r="T6" s="136">
        <f t="shared" si="0"/>
        <v>481840.11369999999</v>
      </c>
      <c r="U6" s="136">
        <f t="shared" si="0"/>
        <v>1143940.7594999999</v>
      </c>
      <c r="V6" s="136">
        <f t="shared" si="0"/>
        <v>1080154.8108300001</v>
      </c>
      <c r="W6" s="136">
        <f t="shared" si="0"/>
        <v>739188.12510000006</v>
      </c>
      <c r="X6" s="136">
        <f>+SUM(S6:W6)/COUNT(S6:W6)</f>
        <v>874058.33162199985</v>
      </c>
      <c r="Y6" s="136">
        <f>+IF(X6&gt;0,X6,X6*-1)</f>
        <v>874058.33162199985</v>
      </c>
      <c r="Z6" s="251">
        <v>72</v>
      </c>
      <c r="AA6" s="136">
        <f>+Y6*Z6</f>
        <v>62932199.876783989</v>
      </c>
      <c r="AB6" s="147">
        <f t="shared" si="1"/>
        <v>1.0030856584814824E-2</v>
      </c>
      <c r="AC6" s="147">
        <f t="shared" si="1"/>
        <v>4.5300213243744296E-3</v>
      </c>
      <c r="AD6" s="147">
        <f t="shared" si="1"/>
        <v>1.593215028719326E-3</v>
      </c>
      <c r="AE6" s="147">
        <f t="shared" si="1"/>
        <v>2.1748067096001825E-3</v>
      </c>
      <c r="AF6" s="147">
        <f t="shared" si="1"/>
        <v>7.1907082236757104E-3</v>
      </c>
      <c r="AG6" s="147">
        <f>+SUM(AB6:AF6)/COUNT(AB6:AF6)</f>
        <v>5.103921574236895E-3</v>
      </c>
      <c r="AH6" s="147">
        <f>+IF(AG6&gt;0,AG6,AG6*-1)</f>
        <v>5.103921574236895E-3</v>
      </c>
      <c r="AI6" s="126">
        <f t="shared" si="2"/>
        <v>80</v>
      </c>
      <c r="AJ6" s="126">
        <f t="shared" si="3"/>
        <v>100</v>
      </c>
      <c r="AK6" s="148">
        <f t="shared" si="4"/>
        <v>90</v>
      </c>
      <c r="AL6" s="27"/>
    </row>
    <row r="7" spans="1:42" ht="15.95">
      <c r="A7" s="86">
        <v>3</v>
      </c>
      <c r="B7" s="241" t="s">
        <v>21</v>
      </c>
      <c r="C7" s="82" t="s">
        <v>19</v>
      </c>
      <c r="D7" s="136"/>
      <c r="E7" s="136"/>
      <c r="F7" s="136"/>
      <c r="G7" s="136"/>
      <c r="H7" s="136"/>
      <c r="I7" s="136"/>
      <c r="J7" s="136"/>
      <c r="K7" s="136"/>
      <c r="L7" s="136"/>
      <c r="M7" s="136"/>
      <c r="N7" s="136"/>
      <c r="O7" s="136"/>
      <c r="P7" s="136"/>
      <c r="Q7" s="136"/>
      <c r="R7" s="136"/>
      <c r="S7" s="136"/>
      <c r="T7" s="136"/>
      <c r="U7" s="136"/>
      <c r="V7" s="136"/>
      <c r="W7" s="136"/>
      <c r="X7" s="136"/>
      <c r="Y7" s="136"/>
      <c r="Z7" s="251">
        <v>120</v>
      </c>
      <c r="AA7" s="136"/>
      <c r="AB7" s="86" t="s">
        <v>22</v>
      </c>
      <c r="AC7" s="86" t="s">
        <v>22</v>
      </c>
      <c r="AD7" s="86" t="s">
        <v>22</v>
      </c>
      <c r="AE7" s="86" t="s">
        <v>22</v>
      </c>
      <c r="AF7" s="86" t="s">
        <v>22</v>
      </c>
      <c r="AG7" s="86" t="s">
        <v>22</v>
      </c>
      <c r="AH7" s="147"/>
      <c r="AI7" s="126">
        <f t="shared" si="2"/>
        <v>0</v>
      </c>
      <c r="AJ7" s="126">
        <f t="shared" si="3"/>
        <v>0</v>
      </c>
      <c r="AK7" s="148">
        <f t="shared" si="4"/>
        <v>0</v>
      </c>
      <c r="AL7" s="27"/>
    </row>
    <row r="8" spans="1:42" ht="15.95">
      <c r="A8" s="86">
        <v>4</v>
      </c>
      <c r="B8" s="241" t="s">
        <v>23</v>
      </c>
      <c r="C8" s="82" t="s">
        <v>19</v>
      </c>
      <c r="D8" s="136">
        <v>1163.8699999999999</v>
      </c>
      <c r="E8" s="136">
        <v>1033.8</v>
      </c>
      <c r="F8" s="136">
        <v>1375.69</v>
      </c>
      <c r="G8" s="136">
        <v>144392.15</v>
      </c>
      <c r="H8" s="136"/>
      <c r="I8" s="136">
        <v>475.82499999999999</v>
      </c>
      <c r="J8" s="136">
        <v>505.214</v>
      </c>
      <c r="K8" s="136">
        <v>31.975000000000001</v>
      </c>
      <c r="L8" s="136">
        <v>101.35981</v>
      </c>
      <c r="M8" s="136">
        <v>139.9556</v>
      </c>
      <c r="N8" s="136">
        <v>12388.156199999999</v>
      </c>
      <c r="O8" s="136">
        <v>58325.583200000001</v>
      </c>
      <c r="P8" s="136">
        <v>20202.917700000002</v>
      </c>
      <c r="Q8" s="136">
        <v>34067.795279999998</v>
      </c>
      <c r="R8" s="136">
        <v>33899.873760000002</v>
      </c>
      <c r="S8" s="136">
        <f t="shared" ref="S8:W12" si="5">+D8-I8+N8</f>
        <v>13076.2012</v>
      </c>
      <c r="T8" s="136">
        <f t="shared" si="5"/>
        <v>58854.169200000004</v>
      </c>
      <c r="U8" s="136">
        <f t="shared" si="5"/>
        <v>21546.632700000002</v>
      </c>
      <c r="V8" s="136">
        <f t="shared" si="5"/>
        <v>178358.58546999999</v>
      </c>
      <c r="W8" s="136">
        <f t="shared" si="5"/>
        <v>33759.918160000001</v>
      </c>
      <c r="X8" s="136">
        <f t="shared" ref="X8:X39" si="6">+SUM(S8:W8)/COUNT(S8:W8)</f>
        <v>61119.101346000003</v>
      </c>
      <c r="Y8" s="136">
        <f t="shared" ref="Y8:Y39" si="7">+IF(X8&gt;0,X8,X8*-1)</f>
        <v>61119.101346000003</v>
      </c>
      <c r="Z8" s="251">
        <v>235</v>
      </c>
      <c r="AA8" s="136">
        <f t="shared" ref="AA8:AA24" si="8">+Y8*Z8</f>
        <v>14362988.816310002</v>
      </c>
      <c r="AB8" s="147">
        <f t="shared" ref="AB8:AF12" si="9">N8/S8</f>
        <v>0.94738188947413871</v>
      </c>
      <c r="AC8" s="147">
        <f t="shared" si="9"/>
        <v>0.99101871613880499</v>
      </c>
      <c r="AD8" s="147">
        <f t="shared" si="9"/>
        <v>0.93763689116954219</v>
      </c>
      <c r="AE8" s="147">
        <f t="shared" si="9"/>
        <v>0.19100731927328624</v>
      </c>
      <c r="AF8" s="147">
        <f t="shared" si="9"/>
        <v>1.0041456143150793</v>
      </c>
      <c r="AG8" s="147">
        <f t="shared" ref="AG8:AG24" si="10">+SUM(AB8:AF8)/COUNT(AB8:AF8)</f>
        <v>0.81423808607417025</v>
      </c>
      <c r="AH8" s="147">
        <f t="shared" ref="AH8:AH24" si="11">+IF(AG8&gt;0,AG8,AG8*-1)</f>
        <v>0.81423808607417025</v>
      </c>
      <c r="AI8" s="126">
        <f t="shared" si="2"/>
        <v>60</v>
      </c>
      <c r="AJ8" s="126">
        <f t="shared" si="3"/>
        <v>40</v>
      </c>
      <c r="AK8" s="148">
        <f t="shared" si="4"/>
        <v>50</v>
      </c>
      <c r="AL8" s="27"/>
    </row>
    <row r="9" spans="1:42" ht="15.95">
      <c r="A9" s="86">
        <v>5</v>
      </c>
      <c r="B9" s="241" t="s">
        <v>24</v>
      </c>
      <c r="C9" s="82" t="s">
        <v>19</v>
      </c>
      <c r="D9" s="136">
        <v>22800111.899999999</v>
      </c>
      <c r="E9" s="136">
        <v>24534006.84</v>
      </c>
      <c r="F9" s="136">
        <v>21461354.66</v>
      </c>
      <c r="G9" s="136">
        <v>16049001.65</v>
      </c>
      <c r="H9" s="136">
        <v>18770724.620000001</v>
      </c>
      <c r="I9" s="136"/>
      <c r="J9" s="136">
        <v>98.231800000000007</v>
      </c>
      <c r="K9" s="136">
        <v>37.564540000000001</v>
      </c>
      <c r="L9" s="136">
        <v>315.26799999999997</v>
      </c>
      <c r="M9" s="136"/>
      <c r="N9" s="136"/>
      <c r="O9" s="136"/>
      <c r="P9" s="136"/>
      <c r="Q9" s="136"/>
      <c r="R9" s="136"/>
      <c r="S9" s="136">
        <f t="shared" si="5"/>
        <v>22800111.899999999</v>
      </c>
      <c r="T9" s="136">
        <f t="shared" si="5"/>
        <v>24533908.608199999</v>
      </c>
      <c r="U9" s="136">
        <f t="shared" si="5"/>
        <v>21461317.095460001</v>
      </c>
      <c r="V9" s="136">
        <f t="shared" si="5"/>
        <v>16048686.382000001</v>
      </c>
      <c r="W9" s="136">
        <f t="shared" si="5"/>
        <v>18770724.620000001</v>
      </c>
      <c r="X9" s="136">
        <f t="shared" si="6"/>
        <v>20722949.721132003</v>
      </c>
      <c r="Y9" s="136">
        <f t="shared" si="7"/>
        <v>20722949.721132003</v>
      </c>
      <c r="Z9" s="251">
        <v>38</v>
      </c>
      <c r="AA9" s="136">
        <f t="shared" si="8"/>
        <v>787472089.40301609</v>
      </c>
      <c r="AB9" s="147">
        <f t="shared" si="9"/>
        <v>0</v>
      </c>
      <c r="AC9" s="147">
        <f t="shared" si="9"/>
        <v>0</v>
      </c>
      <c r="AD9" s="147">
        <f t="shared" si="9"/>
        <v>0</v>
      </c>
      <c r="AE9" s="147">
        <f t="shared" si="9"/>
        <v>0</v>
      </c>
      <c r="AF9" s="147">
        <f t="shared" si="9"/>
        <v>0</v>
      </c>
      <c r="AG9" s="147">
        <f t="shared" si="10"/>
        <v>0</v>
      </c>
      <c r="AH9" s="147">
        <f t="shared" si="11"/>
        <v>0</v>
      </c>
      <c r="AI9" s="126">
        <f t="shared" si="2"/>
        <v>100</v>
      </c>
      <c r="AJ9" s="126">
        <f t="shared" si="3"/>
        <v>0</v>
      </c>
      <c r="AK9" s="148">
        <f t="shared" si="4"/>
        <v>50</v>
      </c>
      <c r="AL9" s="27"/>
    </row>
    <row r="10" spans="1:42" ht="15.95">
      <c r="A10" s="86">
        <v>6</v>
      </c>
      <c r="B10" s="241" t="s">
        <v>25</v>
      </c>
      <c r="C10" s="82" t="s">
        <v>19</v>
      </c>
      <c r="D10" s="136">
        <v>64317612.689999998</v>
      </c>
      <c r="E10" s="136">
        <v>67811189.069999993</v>
      </c>
      <c r="F10" s="136">
        <v>69570796.859999999</v>
      </c>
      <c r="G10" s="136">
        <v>60896266</v>
      </c>
      <c r="H10" s="136">
        <v>50122961.890000001</v>
      </c>
      <c r="I10" s="136">
        <v>55600378.565739997</v>
      </c>
      <c r="J10" s="136">
        <v>56561819.383000001</v>
      </c>
      <c r="K10" s="136">
        <v>56741998.350599997</v>
      </c>
      <c r="L10" s="136">
        <v>60663728.372000001</v>
      </c>
      <c r="M10" s="136">
        <v>47785428.106399998</v>
      </c>
      <c r="N10" s="136">
        <v>571.78908000000001</v>
      </c>
      <c r="O10" s="136">
        <v>4228.8615</v>
      </c>
      <c r="P10" s="136">
        <v>52701.39155</v>
      </c>
      <c r="Q10" s="136">
        <v>50408.256999999998</v>
      </c>
      <c r="R10" s="136">
        <v>10279.366900000001</v>
      </c>
      <c r="S10" s="136">
        <f t="shared" si="5"/>
        <v>8717805.9133400004</v>
      </c>
      <c r="T10" s="136">
        <f t="shared" si="5"/>
        <v>11253598.548499992</v>
      </c>
      <c r="U10" s="136">
        <f t="shared" si="5"/>
        <v>12881499.900950003</v>
      </c>
      <c r="V10" s="136">
        <f t="shared" si="5"/>
        <v>282945.88499999861</v>
      </c>
      <c r="W10" s="136">
        <f t="shared" si="5"/>
        <v>2347813.1505000023</v>
      </c>
      <c r="X10" s="136">
        <f t="shared" si="6"/>
        <v>7096732.6796579985</v>
      </c>
      <c r="Y10" s="136">
        <f t="shared" si="7"/>
        <v>7096732.6796579985</v>
      </c>
      <c r="Z10" s="251">
        <v>113</v>
      </c>
      <c r="AA10" s="136">
        <f t="shared" si="8"/>
        <v>801930792.80135381</v>
      </c>
      <c r="AB10" s="147">
        <f t="shared" si="9"/>
        <v>6.5588645317860017E-5</v>
      </c>
      <c r="AC10" s="147">
        <f t="shared" si="9"/>
        <v>3.7577859933200395E-4</v>
      </c>
      <c r="AD10" s="147">
        <f t="shared" si="9"/>
        <v>4.0912465128469478E-3</v>
      </c>
      <c r="AE10" s="147">
        <f t="shared" si="9"/>
        <v>0.17815511612759538</v>
      </c>
      <c r="AF10" s="147">
        <f t="shared" si="9"/>
        <v>4.3782729889773617E-3</v>
      </c>
      <c r="AG10" s="147">
        <f t="shared" si="10"/>
        <v>3.7413200574813912E-2</v>
      </c>
      <c r="AH10" s="147">
        <f t="shared" si="11"/>
        <v>3.7413200574813912E-2</v>
      </c>
      <c r="AI10" s="126">
        <f t="shared" si="2"/>
        <v>100</v>
      </c>
      <c r="AJ10" s="126">
        <f t="shared" si="3"/>
        <v>80</v>
      </c>
      <c r="AK10" s="148">
        <f t="shared" si="4"/>
        <v>90</v>
      </c>
      <c r="AL10" s="27"/>
    </row>
    <row r="11" spans="1:42" ht="15.95">
      <c r="A11" s="86">
        <v>7</v>
      </c>
      <c r="B11" s="241" t="s">
        <v>26</v>
      </c>
      <c r="C11" s="82" t="s">
        <v>19</v>
      </c>
      <c r="D11" s="136">
        <v>9035.1329700000006</v>
      </c>
      <c r="E11" s="136">
        <v>7615.3848500000004</v>
      </c>
      <c r="F11" s="136">
        <v>9256.5100600000005</v>
      </c>
      <c r="G11" s="136">
        <v>7945.8019599999998</v>
      </c>
      <c r="H11" s="136">
        <v>5654.0874400000002</v>
      </c>
      <c r="I11" s="136">
        <v>10196.170131999999</v>
      </c>
      <c r="J11" s="136">
        <v>5838.2352000000001</v>
      </c>
      <c r="K11" s="136">
        <v>5643.684064</v>
      </c>
      <c r="L11" s="136">
        <v>8421.1973760000001</v>
      </c>
      <c r="M11" s="136">
        <v>9355.0088880999992</v>
      </c>
      <c r="N11" s="136">
        <v>18.804600000000001</v>
      </c>
      <c r="O11" s="136">
        <v>11.62616</v>
      </c>
      <c r="P11" s="136">
        <v>15.044180000000001</v>
      </c>
      <c r="Q11" s="136">
        <v>33.002699999999997</v>
      </c>
      <c r="R11" s="136">
        <v>101.00487</v>
      </c>
      <c r="S11" s="136">
        <f t="shared" si="5"/>
        <v>-1142.2325619999988</v>
      </c>
      <c r="T11" s="136">
        <f t="shared" si="5"/>
        <v>1788.7758100000003</v>
      </c>
      <c r="U11" s="136">
        <f t="shared" si="5"/>
        <v>3627.8701760000004</v>
      </c>
      <c r="V11" s="136">
        <f t="shared" si="5"/>
        <v>-442.39271600000029</v>
      </c>
      <c r="W11" s="136">
        <f t="shared" si="5"/>
        <v>-3599.9165780999988</v>
      </c>
      <c r="X11" s="136">
        <f t="shared" si="6"/>
        <v>46.420825980000608</v>
      </c>
      <c r="Y11" s="136">
        <f t="shared" si="7"/>
        <v>46.420825980000608</v>
      </c>
      <c r="Z11" s="253">
        <v>9938</v>
      </c>
      <c r="AA11" s="136">
        <f t="shared" si="8"/>
        <v>461330.16858924605</v>
      </c>
      <c r="AB11" s="147">
        <f t="shared" si="9"/>
        <v>-1.6463022177439921E-2</v>
      </c>
      <c r="AC11" s="147">
        <f t="shared" si="9"/>
        <v>6.4995064976868166E-3</v>
      </c>
      <c r="AD11" s="147">
        <f t="shared" si="9"/>
        <v>4.1468352697745488E-3</v>
      </c>
      <c r="AE11" s="147">
        <f t="shared" si="9"/>
        <v>-7.4600459741746686E-2</v>
      </c>
      <c r="AF11" s="147">
        <f t="shared" si="9"/>
        <v>-2.8057558504122167E-2</v>
      </c>
      <c r="AG11" s="147">
        <f t="shared" si="10"/>
        <v>-2.1694939731169482E-2</v>
      </c>
      <c r="AH11" s="147">
        <f t="shared" si="11"/>
        <v>2.1694939731169482E-2</v>
      </c>
      <c r="AI11" s="126">
        <f t="shared" si="2"/>
        <v>20</v>
      </c>
      <c r="AJ11" s="126">
        <f t="shared" si="3"/>
        <v>80</v>
      </c>
      <c r="AK11" s="148">
        <f t="shared" si="4"/>
        <v>50</v>
      </c>
      <c r="AL11" s="27"/>
    </row>
    <row r="12" spans="1:42" ht="15.95">
      <c r="A12" s="86">
        <v>8</v>
      </c>
      <c r="B12" s="241" t="s">
        <v>27</v>
      </c>
      <c r="C12" s="82" t="s">
        <v>19</v>
      </c>
      <c r="D12" s="136"/>
      <c r="E12" s="136">
        <v>35.3718</v>
      </c>
      <c r="F12" s="136"/>
      <c r="G12" s="136"/>
      <c r="H12" s="136"/>
      <c r="I12" s="136">
        <v>9.8249999999999993</v>
      </c>
      <c r="J12" s="136">
        <v>44.6</v>
      </c>
      <c r="K12" s="136">
        <v>2.25</v>
      </c>
      <c r="L12" s="136">
        <v>2</v>
      </c>
      <c r="M12" s="136">
        <v>19.5</v>
      </c>
      <c r="N12" s="136">
        <v>773.65256999999997</v>
      </c>
      <c r="O12" s="136">
        <v>782.96347000000003</v>
      </c>
      <c r="P12" s="136">
        <v>655.20736999999997</v>
      </c>
      <c r="Q12" s="136">
        <v>579.80600000000004</v>
      </c>
      <c r="R12" s="136">
        <v>517.97839999999997</v>
      </c>
      <c r="S12" s="136">
        <f t="shared" si="5"/>
        <v>763.82756999999992</v>
      </c>
      <c r="T12" s="136">
        <f t="shared" si="5"/>
        <v>773.73527000000001</v>
      </c>
      <c r="U12" s="136">
        <f t="shared" si="5"/>
        <v>652.95736999999997</v>
      </c>
      <c r="V12" s="136">
        <f t="shared" si="5"/>
        <v>577.80600000000004</v>
      </c>
      <c r="W12" s="136">
        <f t="shared" si="5"/>
        <v>498.47839999999997</v>
      </c>
      <c r="X12" s="136">
        <f t="shared" si="6"/>
        <v>653.36092200000007</v>
      </c>
      <c r="Y12" s="136">
        <f t="shared" si="7"/>
        <v>653.36092200000007</v>
      </c>
      <c r="Z12" s="251">
        <v>280</v>
      </c>
      <c r="AA12" s="136">
        <f t="shared" si="8"/>
        <v>182941.05816000002</v>
      </c>
      <c r="AB12" s="147">
        <f t="shared" si="9"/>
        <v>1.0128628507085704</v>
      </c>
      <c r="AC12" s="147">
        <f t="shared" si="9"/>
        <v>1.0119268183289616</v>
      </c>
      <c r="AD12" s="147">
        <f t="shared" si="9"/>
        <v>1.0034458604855014</v>
      </c>
      <c r="AE12" s="147">
        <f t="shared" si="9"/>
        <v>1.003461369386957</v>
      </c>
      <c r="AF12" s="147">
        <f t="shared" si="9"/>
        <v>1.0391190470840863</v>
      </c>
      <c r="AG12" s="147">
        <f t="shared" si="10"/>
        <v>1.0141631891988154</v>
      </c>
      <c r="AH12" s="147">
        <f t="shared" si="11"/>
        <v>1.0141631891988154</v>
      </c>
      <c r="AI12" s="126">
        <f t="shared" si="2"/>
        <v>20</v>
      </c>
      <c r="AJ12" s="126">
        <f t="shared" si="3"/>
        <v>20</v>
      </c>
      <c r="AK12" s="148">
        <f t="shared" si="4"/>
        <v>20</v>
      </c>
      <c r="AL12" s="27"/>
    </row>
    <row r="13" spans="1:42" ht="15.95">
      <c r="A13" s="86">
        <v>9</v>
      </c>
      <c r="B13" s="241" t="s">
        <v>28</v>
      </c>
      <c r="C13" s="83" t="s">
        <v>19</v>
      </c>
      <c r="D13" s="136"/>
      <c r="E13" s="136"/>
      <c r="F13" s="136"/>
      <c r="G13" s="136"/>
      <c r="H13" s="136"/>
      <c r="I13" s="136">
        <v>6.24</v>
      </c>
      <c r="J13" s="136">
        <v>1.9950000000000001</v>
      </c>
      <c r="K13" s="86">
        <v>3.9219999999999998E-2</v>
      </c>
      <c r="L13" s="86">
        <v>6.5189999999999998E-2</v>
      </c>
      <c r="M13" s="86">
        <v>5.9240000000000001E-2</v>
      </c>
      <c r="N13" s="136">
        <v>4.0899999999999999E-2</v>
      </c>
      <c r="O13" s="136">
        <v>2.7289999999999998E-2</v>
      </c>
      <c r="P13" s="136">
        <v>3.9219999999999998E-2</v>
      </c>
      <c r="Q13" s="136">
        <v>6.5189999999999998E-2</v>
      </c>
      <c r="R13" s="136">
        <v>5.9240000000000001E-2</v>
      </c>
      <c r="S13" s="136">
        <v>-6</v>
      </c>
      <c r="T13" s="136">
        <v>-2</v>
      </c>
      <c r="U13" s="136">
        <v>3.9219999999999998E-2</v>
      </c>
      <c r="V13" s="136">
        <v>6.5189999999999998E-2</v>
      </c>
      <c r="W13" s="149">
        <v>5.9240000000000001E-2</v>
      </c>
      <c r="X13" s="136">
        <f t="shared" si="6"/>
        <v>-1.5672699999999999</v>
      </c>
      <c r="Y13" s="136">
        <f t="shared" si="7"/>
        <v>1.5672699999999999</v>
      </c>
      <c r="Z13" s="253">
        <v>60000</v>
      </c>
      <c r="AA13" s="136">
        <f t="shared" si="8"/>
        <v>94036.2</v>
      </c>
      <c r="AB13" s="147">
        <f t="shared" ref="AB13:AB24" si="12">N13/S13</f>
        <v>-6.8166666666666662E-3</v>
      </c>
      <c r="AC13" s="147">
        <f t="shared" ref="AC13:AC24" si="13">O13/T13</f>
        <v>-1.3644999999999999E-2</v>
      </c>
      <c r="AD13" s="86" t="s">
        <v>22</v>
      </c>
      <c r="AE13" s="86" t="s">
        <v>22</v>
      </c>
      <c r="AF13" s="147">
        <f t="shared" ref="AF13:AF24" si="14">R13/W13</f>
        <v>1</v>
      </c>
      <c r="AG13" s="147">
        <f t="shared" si="10"/>
        <v>0.32651277777777776</v>
      </c>
      <c r="AH13" s="147">
        <f t="shared" si="11"/>
        <v>0.32651277777777776</v>
      </c>
      <c r="AI13" s="126">
        <f t="shared" si="2"/>
        <v>20</v>
      </c>
      <c r="AJ13" s="126">
        <f t="shared" si="3"/>
        <v>60</v>
      </c>
      <c r="AK13" s="148">
        <f t="shared" si="4"/>
        <v>40</v>
      </c>
      <c r="AL13" s="27"/>
      <c r="AP13" s="60"/>
    </row>
    <row r="14" spans="1:42" ht="15.95">
      <c r="A14" s="86">
        <v>10</v>
      </c>
      <c r="B14" s="241" t="s">
        <v>29</v>
      </c>
      <c r="C14" s="82" t="s">
        <v>19</v>
      </c>
      <c r="D14" s="136">
        <v>0.30293560000000003</v>
      </c>
      <c r="E14" s="136">
        <v>0.2771979</v>
      </c>
      <c r="F14" s="136">
        <v>0.2789045</v>
      </c>
      <c r="G14" s="136">
        <v>0.27923969999999998</v>
      </c>
      <c r="H14" s="136">
        <v>0.29231980000000002</v>
      </c>
      <c r="I14" s="136">
        <v>0.25869999999999999</v>
      </c>
      <c r="J14" s="136">
        <v>0.25664999999999999</v>
      </c>
      <c r="K14" s="136">
        <v>0.17460000000000001</v>
      </c>
      <c r="L14" s="136">
        <v>0.21173</v>
      </c>
      <c r="M14" s="136">
        <v>0.17063999999999999</v>
      </c>
      <c r="N14" s="136">
        <v>1.2600000000000001E-3</v>
      </c>
      <c r="O14" s="136">
        <v>7.5000000000000002E-4</v>
      </c>
      <c r="P14" s="136">
        <v>3.6000000000000002E-4</v>
      </c>
      <c r="Q14" s="136">
        <v>5.0000000000000001E-4</v>
      </c>
      <c r="R14" s="136">
        <v>6.9999999999999994E-5</v>
      </c>
      <c r="S14" s="136">
        <f t="shared" ref="S14:S39" si="15">+D14-I14+N14</f>
        <v>4.5495600000000039E-2</v>
      </c>
      <c r="T14" s="136">
        <f t="shared" ref="T14:T39" si="16">+E14-J14+O14</f>
        <v>2.1297900000000008E-2</v>
      </c>
      <c r="U14" s="136">
        <f t="shared" ref="U14:U39" si="17">+F14-K14+P14</f>
        <v>0.10466449999999999</v>
      </c>
      <c r="V14" s="136">
        <f t="shared" ref="V14:V39" si="18">+G14-L14+Q14</f>
        <v>6.8009699999999979E-2</v>
      </c>
      <c r="W14" s="136">
        <f t="shared" ref="W14:W39" si="19">+H14-M14+R14</f>
        <v>0.12174980000000003</v>
      </c>
      <c r="X14" s="136">
        <f t="shared" si="6"/>
        <v>7.2243500000000016E-2</v>
      </c>
      <c r="Y14" s="136">
        <f t="shared" si="7"/>
        <v>7.2243500000000016E-2</v>
      </c>
      <c r="Z14" s="253">
        <v>816485656</v>
      </c>
      <c r="AA14" s="136">
        <f t="shared" si="8"/>
        <v>58985781.489236012</v>
      </c>
      <c r="AB14" s="147">
        <f t="shared" si="12"/>
        <v>2.7694985888745263E-2</v>
      </c>
      <c r="AC14" s="147">
        <f t="shared" si="13"/>
        <v>3.5214739481357303E-2</v>
      </c>
      <c r="AD14" s="147">
        <f t="shared" ref="AD14:AD24" si="20">P14/U14</f>
        <v>3.4395616469767689E-3</v>
      </c>
      <c r="AE14" s="147">
        <f t="shared" ref="AE14:AE24" si="21">Q14/V14</f>
        <v>7.3518924506357202E-3</v>
      </c>
      <c r="AF14" s="147">
        <f t="shared" si="14"/>
        <v>5.749496097734861E-4</v>
      </c>
      <c r="AG14" s="147">
        <f t="shared" si="10"/>
        <v>1.4855225815497707E-2</v>
      </c>
      <c r="AH14" s="147">
        <f t="shared" si="11"/>
        <v>1.4855225815497707E-2</v>
      </c>
      <c r="AI14" s="126">
        <f t="shared" si="2"/>
        <v>80</v>
      </c>
      <c r="AJ14" s="126">
        <f t="shared" si="3"/>
        <v>100</v>
      </c>
      <c r="AK14" s="148">
        <f t="shared" si="4"/>
        <v>90</v>
      </c>
      <c r="AL14" s="27"/>
    </row>
    <row r="15" spans="1:42" ht="15.95">
      <c r="A15" s="86">
        <v>11</v>
      </c>
      <c r="B15" s="241" t="s">
        <v>30</v>
      </c>
      <c r="C15" s="82" t="s">
        <v>19</v>
      </c>
      <c r="D15" s="136"/>
      <c r="E15" s="136"/>
      <c r="F15" s="136"/>
      <c r="G15" s="136">
        <v>209.33226999999999</v>
      </c>
      <c r="H15" s="136">
        <v>67.109539999999996</v>
      </c>
      <c r="I15" s="136">
        <v>59.75714</v>
      </c>
      <c r="J15" s="136">
        <v>216.51365000000001</v>
      </c>
      <c r="K15" s="136">
        <v>118.50385</v>
      </c>
      <c r="L15" s="136">
        <v>248.77950000000001</v>
      </c>
      <c r="M15" s="136">
        <v>110.36527</v>
      </c>
      <c r="N15" s="136">
        <v>184.91723999999999</v>
      </c>
      <c r="O15" s="136">
        <v>161.69439</v>
      </c>
      <c r="P15" s="136">
        <v>182.36084</v>
      </c>
      <c r="Q15" s="136">
        <v>216.35176000000001</v>
      </c>
      <c r="R15" s="136">
        <v>184.98886999999999</v>
      </c>
      <c r="S15" s="136">
        <f t="shared" si="15"/>
        <v>125.1601</v>
      </c>
      <c r="T15" s="136">
        <f t="shared" si="16"/>
        <v>-54.819260000000014</v>
      </c>
      <c r="U15" s="136">
        <f t="shared" si="17"/>
        <v>63.856989999999996</v>
      </c>
      <c r="V15" s="136">
        <f t="shared" si="18"/>
        <v>176.90452999999999</v>
      </c>
      <c r="W15" s="136">
        <f t="shared" si="19"/>
        <v>141.73313999999999</v>
      </c>
      <c r="X15" s="136">
        <f t="shared" si="6"/>
        <v>90.567099999999996</v>
      </c>
      <c r="Y15" s="136">
        <f t="shared" si="7"/>
        <v>90.567099999999996</v>
      </c>
      <c r="Z15" s="254">
        <v>32500</v>
      </c>
      <c r="AA15" s="136">
        <f t="shared" si="8"/>
        <v>2943430.75</v>
      </c>
      <c r="AB15" s="147">
        <f t="shared" si="12"/>
        <v>1.4774456076657017</v>
      </c>
      <c r="AC15" s="147">
        <f t="shared" si="13"/>
        <v>-2.9495908919602338</v>
      </c>
      <c r="AD15" s="147">
        <f t="shared" si="20"/>
        <v>2.8557694310364456</v>
      </c>
      <c r="AE15" s="147">
        <f t="shared" si="21"/>
        <v>1.2229859800650669</v>
      </c>
      <c r="AF15" s="147">
        <f t="shared" si="14"/>
        <v>1.3051913617379818</v>
      </c>
      <c r="AG15" s="147">
        <f t="shared" si="10"/>
        <v>0.78236029770899251</v>
      </c>
      <c r="AH15" s="147">
        <f t="shared" si="11"/>
        <v>0.78236029770899251</v>
      </c>
      <c r="AI15" s="126">
        <f t="shared" si="2"/>
        <v>40</v>
      </c>
      <c r="AJ15" s="126">
        <f t="shared" si="3"/>
        <v>40</v>
      </c>
      <c r="AK15" s="148">
        <f t="shared" si="4"/>
        <v>40</v>
      </c>
      <c r="AL15" s="27"/>
    </row>
    <row r="16" spans="1:42" ht="15.95">
      <c r="A16" s="86">
        <v>12</v>
      </c>
      <c r="B16" s="241" t="s">
        <v>31</v>
      </c>
      <c r="C16" s="82" t="s">
        <v>19</v>
      </c>
      <c r="D16" s="136">
        <v>99755.47</v>
      </c>
      <c r="E16" s="136">
        <v>164782.98000000001</v>
      </c>
      <c r="F16" s="136">
        <v>73674.91</v>
      </c>
      <c r="G16" s="136">
        <v>147326.24</v>
      </c>
      <c r="H16" s="136">
        <v>218069.59</v>
      </c>
      <c r="I16" s="136"/>
      <c r="J16" s="136">
        <v>13.678000000000001</v>
      </c>
      <c r="K16" s="136">
        <v>15</v>
      </c>
      <c r="L16" s="136">
        <v>1022.2</v>
      </c>
      <c r="M16" s="136">
        <v>2815.6</v>
      </c>
      <c r="N16" s="136">
        <v>4995.4740000000002</v>
      </c>
      <c r="O16" s="136">
        <v>5434.75</v>
      </c>
      <c r="P16" s="136">
        <v>4008.2049999999999</v>
      </c>
      <c r="Q16" s="136">
        <v>3735.3456200000001</v>
      </c>
      <c r="R16" s="136">
        <v>4759.9279999999999</v>
      </c>
      <c r="S16" s="136">
        <f t="shared" si="15"/>
        <v>104750.944</v>
      </c>
      <c r="T16" s="136">
        <f t="shared" si="16"/>
        <v>170204.052</v>
      </c>
      <c r="U16" s="136">
        <f t="shared" si="17"/>
        <v>77668.115000000005</v>
      </c>
      <c r="V16" s="136">
        <f t="shared" si="18"/>
        <v>150039.38561999999</v>
      </c>
      <c r="W16" s="136">
        <f t="shared" si="19"/>
        <v>220013.91800000001</v>
      </c>
      <c r="X16" s="136">
        <f t="shared" si="6"/>
        <v>144535.282924</v>
      </c>
      <c r="Y16" s="136">
        <f t="shared" si="7"/>
        <v>144535.282924</v>
      </c>
      <c r="Z16" s="255">
        <v>120</v>
      </c>
      <c r="AA16" s="136">
        <f t="shared" si="8"/>
        <v>17344233.950879999</v>
      </c>
      <c r="AB16" s="147">
        <f t="shared" si="12"/>
        <v>4.768905948952594E-2</v>
      </c>
      <c r="AC16" s="147">
        <f t="shared" si="13"/>
        <v>3.1930790930876314E-2</v>
      </c>
      <c r="AD16" s="147">
        <f t="shared" si="20"/>
        <v>5.1606827331910909E-2</v>
      </c>
      <c r="AE16" s="147">
        <f t="shared" si="21"/>
        <v>2.4895767231814664E-2</v>
      </c>
      <c r="AF16" s="147">
        <f t="shared" si="14"/>
        <v>2.1634667675887669E-2</v>
      </c>
      <c r="AG16" s="147">
        <f t="shared" si="10"/>
        <v>3.55514225320031E-2</v>
      </c>
      <c r="AH16" s="147">
        <f t="shared" si="11"/>
        <v>3.55514225320031E-2</v>
      </c>
      <c r="AI16" s="126">
        <f t="shared" si="2"/>
        <v>60</v>
      </c>
      <c r="AJ16" s="126">
        <f t="shared" si="3"/>
        <v>80</v>
      </c>
      <c r="AK16" s="148">
        <f t="shared" si="4"/>
        <v>70</v>
      </c>
      <c r="AL16" s="27"/>
    </row>
    <row r="17" spans="1:38" ht="15.95">
      <c r="A17" s="86">
        <v>13</v>
      </c>
      <c r="B17" s="241" t="s">
        <v>32</v>
      </c>
      <c r="C17" s="82" t="s">
        <v>19</v>
      </c>
      <c r="D17" s="136"/>
      <c r="E17" s="136"/>
      <c r="F17" s="136"/>
      <c r="G17" s="136"/>
      <c r="H17" s="136"/>
      <c r="I17" s="136"/>
      <c r="J17" s="136"/>
      <c r="K17" s="136"/>
      <c r="L17" s="136"/>
      <c r="M17" s="136"/>
      <c r="N17" s="136">
        <v>1468.49</v>
      </c>
      <c r="O17" s="136">
        <v>2752.64</v>
      </c>
      <c r="P17" s="136">
        <v>1750.5640000000001</v>
      </c>
      <c r="Q17" s="136">
        <v>1590.2329999999999</v>
      </c>
      <c r="R17" s="136">
        <v>1465.7940000000001</v>
      </c>
      <c r="S17" s="136">
        <f t="shared" si="15"/>
        <v>1468.49</v>
      </c>
      <c r="T17" s="136">
        <f t="shared" si="16"/>
        <v>2752.64</v>
      </c>
      <c r="U17" s="136">
        <f t="shared" si="17"/>
        <v>1750.5640000000001</v>
      </c>
      <c r="V17" s="136">
        <f t="shared" si="18"/>
        <v>1590.2329999999999</v>
      </c>
      <c r="W17" s="136">
        <f t="shared" si="19"/>
        <v>1465.7940000000001</v>
      </c>
      <c r="X17" s="136">
        <f t="shared" si="6"/>
        <v>1805.5442000000003</v>
      </c>
      <c r="Y17" s="136">
        <f t="shared" si="7"/>
        <v>1805.5442000000003</v>
      </c>
      <c r="Z17" s="255">
        <v>466</v>
      </c>
      <c r="AA17" s="136">
        <f t="shared" si="8"/>
        <v>841383.59720000008</v>
      </c>
      <c r="AB17" s="147">
        <f t="shared" si="12"/>
        <v>1</v>
      </c>
      <c r="AC17" s="147">
        <f t="shared" si="13"/>
        <v>1</v>
      </c>
      <c r="AD17" s="147">
        <f t="shared" si="20"/>
        <v>1</v>
      </c>
      <c r="AE17" s="147">
        <f t="shared" si="21"/>
        <v>1</v>
      </c>
      <c r="AF17" s="147">
        <f t="shared" si="14"/>
        <v>1</v>
      </c>
      <c r="AG17" s="147">
        <f t="shared" si="10"/>
        <v>1</v>
      </c>
      <c r="AH17" s="147">
        <f t="shared" si="11"/>
        <v>1</v>
      </c>
      <c r="AI17" s="126">
        <f t="shared" si="2"/>
        <v>40</v>
      </c>
      <c r="AJ17" s="126">
        <f t="shared" si="3"/>
        <v>20</v>
      </c>
      <c r="AK17" s="148">
        <f t="shared" si="4"/>
        <v>30</v>
      </c>
      <c r="AL17" s="27"/>
    </row>
    <row r="18" spans="1:38" ht="15.95">
      <c r="A18" s="86">
        <v>14</v>
      </c>
      <c r="B18" s="241" t="s">
        <v>33</v>
      </c>
      <c r="C18" s="82" t="s">
        <v>19</v>
      </c>
      <c r="D18" s="136">
        <v>55</v>
      </c>
      <c r="E18" s="136">
        <v>85</v>
      </c>
      <c r="F18" s="136">
        <v>1277</v>
      </c>
      <c r="G18" s="136">
        <v>417</v>
      </c>
      <c r="H18" s="136">
        <v>88</v>
      </c>
      <c r="I18" s="136">
        <v>41.301000000000002</v>
      </c>
      <c r="J18" s="136">
        <v>27.7</v>
      </c>
      <c r="K18" s="136">
        <v>112.92140999999999</v>
      </c>
      <c r="L18" s="136">
        <v>50.042499999999997</v>
      </c>
      <c r="M18" s="136">
        <v>95.516000000000005</v>
      </c>
      <c r="N18" s="136">
        <v>962.34205999999995</v>
      </c>
      <c r="O18" s="136">
        <v>577.51682000000005</v>
      </c>
      <c r="P18" s="136">
        <v>673.16981999999996</v>
      </c>
      <c r="Q18" s="136">
        <v>632.70641999999998</v>
      </c>
      <c r="R18" s="136">
        <v>504.96444000000002</v>
      </c>
      <c r="S18" s="136">
        <f t="shared" si="15"/>
        <v>976.0410599999999</v>
      </c>
      <c r="T18" s="136">
        <f t="shared" si="16"/>
        <v>634.81682000000001</v>
      </c>
      <c r="U18" s="136">
        <f t="shared" si="17"/>
        <v>1837.2484100000001</v>
      </c>
      <c r="V18" s="136">
        <f t="shared" si="18"/>
        <v>999.66391999999996</v>
      </c>
      <c r="W18" s="136">
        <f t="shared" si="19"/>
        <v>497.44844000000001</v>
      </c>
      <c r="X18" s="136">
        <f t="shared" si="6"/>
        <v>989.0437300000001</v>
      </c>
      <c r="Y18" s="136">
        <f t="shared" si="7"/>
        <v>989.0437300000001</v>
      </c>
      <c r="Z18" s="255">
        <v>700</v>
      </c>
      <c r="AA18" s="136">
        <f t="shared" si="8"/>
        <v>692330.61100000003</v>
      </c>
      <c r="AB18" s="147">
        <f t="shared" si="12"/>
        <v>0.98596472980347782</v>
      </c>
      <c r="AC18" s="147">
        <f t="shared" si="13"/>
        <v>0.90973774135348218</v>
      </c>
      <c r="AD18" s="147">
        <f t="shared" si="20"/>
        <v>0.36640108998651949</v>
      </c>
      <c r="AE18" s="147">
        <f t="shared" si="21"/>
        <v>0.63291913146170165</v>
      </c>
      <c r="AF18" s="147">
        <f t="shared" si="14"/>
        <v>1.0151091035686031</v>
      </c>
      <c r="AG18" s="147">
        <f t="shared" si="10"/>
        <v>0.78202635923475694</v>
      </c>
      <c r="AH18" s="147">
        <f t="shared" si="11"/>
        <v>0.78202635923475694</v>
      </c>
      <c r="AI18" s="126">
        <f t="shared" si="2"/>
        <v>20</v>
      </c>
      <c r="AJ18" s="126">
        <f t="shared" si="3"/>
        <v>40</v>
      </c>
      <c r="AK18" s="148">
        <f t="shared" si="4"/>
        <v>30</v>
      </c>
      <c r="AL18" s="27"/>
    </row>
    <row r="19" spans="1:38" ht="15.95">
      <c r="A19" s="86">
        <v>15</v>
      </c>
      <c r="B19" s="241" t="s">
        <v>34</v>
      </c>
      <c r="C19" s="82" t="s">
        <v>19</v>
      </c>
      <c r="D19" s="136">
        <v>750381.47</v>
      </c>
      <c r="E19" s="136">
        <v>497646.75</v>
      </c>
      <c r="F19" s="136">
        <v>652756.81000000006</v>
      </c>
      <c r="G19" s="136">
        <v>516820.38</v>
      </c>
      <c r="H19" s="136">
        <v>717698.33</v>
      </c>
      <c r="I19" s="136">
        <v>6055.72523</v>
      </c>
      <c r="J19" s="136">
        <v>5186.1426899999997</v>
      </c>
      <c r="K19" s="136">
        <v>4169.2159899999997</v>
      </c>
      <c r="L19" s="136">
        <v>4462.1938399999999</v>
      </c>
      <c r="M19" s="136">
        <v>3553.0645300000001</v>
      </c>
      <c r="N19" s="136">
        <v>2611.5825300000001</v>
      </c>
      <c r="O19" s="136">
        <v>2362.77504</v>
      </c>
      <c r="P19" s="136">
        <v>1946.3513499999999</v>
      </c>
      <c r="Q19" s="136">
        <v>3004.32609</v>
      </c>
      <c r="R19" s="136">
        <v>1602.65029</v>
      </c>
      <c r="S19" s="136">
        <f t="shared" si="15"/>
        <v>746937.3273</v>
      </c>
      <c r="T19" s="136">
        <f t="shared" si="16"/>
        <v>494823.38234999997</v>
      </c>
      <c r="U19" s="136">
        <f t="shared" si="17"/>
        <v>650533.94536000001</v>
      </c>
      <c r="V19" s="136">
        <f t="shared" si="18"/>
        <v>515362.51224999997</v>
      </c>
      <c r="W19" s="136">
        <f t="shared" si="19"/>
        <v>715747.91576</v>
      </c>
      <c r="X19" s="136">
        <f t="shared" si="6"/>
        <v>624681.016604</v>
      </c>
      <c r="Y19" s="136">
        <f t="shared" si="7"/>
        <v>624681.016604</v>
      </c>
      <c r="Z19" s="251">
        <v>100</v>
      </c>
      <c r="AA19" s="136">
        <f t="shared" si="8"/>
        <v>62468101.660400003</v>
      </c>
      <c r="AB19" s="147">
        <f t="shared" si="12"/>
        <v>3.4963877617955538E-3</v>
      </c>
      <c r="AC19" s="147">
        <f t="shared" si="13"/>
        <v>4.7749866402407694E-3</v>
      </c>
      <c r="AD19" s="147">
        <f t="shared" si="20"/>
        <v>2.9919289590997523E-3</v>
      </c>
      <c r="AE19" s="147">
        <f t="shared" si="21"/>
        <v>5.8295394379454116E-3</v>
      </c>
      <c r="AF19" s="147">
        <f t="shared" si="14"/>
        <v>2.2391267298323375E-3</v>
      </c>
      <c r="AG19" s="147">
        <f t="shared" si="10"/>
        <v>3.8663939057827649E-3</v>
      </c>
      <c r="AH19" s="147">
        <f t="shared" si="11"/>
        <v>3.8663939057827649E-3</v>
      </c>
      <c r="AI19" s="126">
        <f t="shared" si="2"/>
        <v>80</v>
      </c>
      <c r="AJ19" s="126">
        <f t="shared" si="3"/>
        <v>100</v>
      </c>
      <c r="AK19" s="148">
        <f t="shared" si="4"/>
        <v>90</v>
      </c>
      <c r="AL19" s="27"/>
    </row>
    <row r="20" spans="1:38" ht="15.95">
      <c r="A20" s="86">
        <v>16</v>
      </c>
      <c r="B20" s="241" t="s">
        <v>35</v>
      </c>
      <c r="C20" s="82" t="s">
        <v>19</v>
      </c>
      <c r="D20" s="136"/>
      <c r="E20" s="136"/>
      <c r="F20" s="136"/>
      <c r="G20" s="136"/>
      <c r="H20" s="136"/>
      <c r="I20" s="136"/>
      <c r="J20" s="136"/>
      <c r="K20" s="136"/>
      <c r="L20" s="136"/>
      <c r="M20" s="136"/>
      <c r="N20" s="136">
        <v>6.1412500000000003</v>
      </c>
      <c r="O20" s="136">
        <v>9.0860000000000003</v>
      </c>
      <c r="P20" s="136">
        <v>9.3253799999999991</v>
      </c>
      <c r="Q20" s="136">
        <v>3.9314</v>
      </c>
      <c r="R20" s="136">
        <v>10.95913</v>
      </c>
      <c r="S20" s="136">
        <f t="shared" si="15"/>
        <v>6.1412500000000003</v>
      </c>
      <c r="T20" s="136">
        <f t="shared" si="16"/>
        <v>9.0860000000000003</v>
      </c>
      <c r="U20" s="136">
        <f t="shared" si="17"/>
        <v>9.3253799999999991</v>
      </c>
      <c r="V20" s="136">
        <f t="shared" si="18"/>
        <v>3.9314</v>
      </c>
      <c r="W20" s="136">
        <f t="shared" si="19"/>
        <v>10.95913</v>
      </c>
      <c r="X20" s="136">
        <f t="shared" si="6"/>
        <v>7.8886319999999994</v>
      </c>
      <c r="Y20" s="136">
        <f t="shared" si="7"/>
        <v>7.8886319999999994</v>
      </c>
      <c r="Z20" s="253">
        <v>9145</v>
      </c>
      <c r="AA20" s="136">
        <f t="shared" si="8"/>
        <v>72141.539639999988</v>
      </c>
      <c r="AB20" s="147">
        <f t="shared" si="12"/>
        <v>1</v>
      </c>
      <c r="AC20" s="147">
        <f t="shared" si="13"/>
        <v>1</v>
      </c>
      <c r="AD20" s="147">
        <f t="shared" si="20"/>
        <v>1</v>
      </c>
      <c r="AE20" s="147">
        <f t="shared" si="21"/>
        <v>1</v>
      </c>
      <c r="AF20" s="147">
        <f t="shared" si="14"/>
        <v>1</v>
      </c>
      <c r="AG20" s="147">
        <f t="shared" si="10"/>
        <v>1</v>
      </c>
      <c r="AH20" s="147">
        <f t="shared" si="11"/>
        <v>1</v>
      </c>
      <c r="AI20" s="126">
        <f t="shared" si="2"/>
        <v>20</v>
      </c>
      <c r="AJ20" s="126">
        <f t="shared" si="3"/>
        <v>20</v>
      </c>
      <c r="AK20" s="148">
        <f t="shared" si="4"/>
        <v>20</v>
      </c>
      <c r="AL20" s="27"/>
    </row>
    <row r="21" spans="1:38" ht="15.95">
      <c r="A21" s="86">
        <v>17</v>
      </c>
      <c r="B21" s="241" t="s">
        <v>36</v>
      </c>
      <c r="C21" s="82" t="s">
        <v>19</v>
      </c>
      <c r="D21" s="136">
        <v>3115.8</v>
      </c>
      <c r="E21" s="136">
        <v>2694.2</v>
      </c>
      <c r="F21" s="136">
        <v>2539.5500000000002</v>
      </c>
      <c r="G21" s="136">
        <v>1398.1</v>
      </c>
      <c r="H21" s="136">
        <v>260.48</v>
      </c>
      <c r="I21" s="136">
        <v>752.65729999999996</v>
      </c>
      <c r="J21" s="136">
        <v>535.93669999999997</v>
      </c>
      <c r="K21" s="136">
        <v>1490.9586999999999</v>
      </c>
      <c r="L21" s="136">
        <v>141.75006999999999</v>
      </c>
      <c r="M21" s="136">
        <v>200.06962999999999</v>
      </c>
      <c r="N21" s="136">
        <v>34634.346660000003</v>
      </c>
      <c r="O21" s="136">
        <v>55210.860690000001</v>
      </c>
      <c r="P21" s="136">
        <v>47151.516739999999</v>
      </c>
      <c r="Q21" s="136">
        <v>50872.819750000002</v>
      </c>
      <c r="R21" s="136">
        <v>57940.264280000003</v>
      </c>
      <c r="S21" s="136">
        <f t="shared" si="15"/>
        <v>36997.489360000007</v>
      </c>
      <c r="T21" s="136">
        <f t="shared" si="16"/>
        <v>57369.12399</v>
      </c>
      <c r="U21" s="136">
        <f t="shared" si="17"/>
        <v>48200.108039999999</v>
      </c>
      <c r="V21" s="136">
        <f t="shared" si="18"/>
        <v>52129.169679999999</v>
      </c>
      <c r="W21" s="136">
        <f t="shared" si="19"/>
        <v>58000.674650000001</v>
      </c>
      <c r="X21" s="136">
        <f t="shared" si="6"/>
        <v>50539.313144</v>
      </c>
      <c r="Y21" s="136">
        <f t="shared" si="7"/>
        <v>50539.313144</v>
      </c>
      <c r="Z21" s="253">
        <v>2700</v>
      </c>
      <c r="AA21" s="136">
        <f t="shared" si="8"/>
        <v>136456145.48879999</v>
      </c>
      <c r="AB21" s="147">
        <f t="shared" si="12"/>
        <v>0.93612694426354981</v>
      </c>
      <c r="AC21" s="147">
        <f t="shared" si="13"/>
        <v>0.96237935757261683</v>
      </c>
      <c r="AD21" s="147">
        <f t="shared" si="20"/>
        <v>0.97824504253953537</v>
      </c>
      <c r="AE21" s="147">
        <f t="shared" si="21"/>
        <v>0.97589929136197218</v>
      </c>
      <c r="AF21" s="147">
        <f t="shared" si="14"/>
        <v>0.99895845401170691</v>
      </c>
      <c r="AG21" s="147">
        <f t="shared" si="10"/>
        <v>0.97032181794987626</v>
      </c>
      <c r="AH21" s="147">
        <f t="shared" si="11"/>
        <v>0.97032181794987626</v>
      </c>
      <c r="AI21" s="126">
        <f t="shared" si="2"/>
        <v>80</v>
      </c>
      <c r="AJ21" s="126">
        <f t="shared" si="3"/>
        <v>40</v>
      </c>
      <c r="AK21" s="148">
        <f t="shared" si="4"/>
        <v>60</v>
      </c>
      <c r="AL21" s="27"/>
    </row>
    <row r="22" spans="1:38" ht="15.95">
      <c r="A22" s="86">
        <v>18</v>
      </c>
      <c r="B22" s="241" t="s">
        <v>37</v>
      </c>
      <c r="C22" s="82" t="s">
        <v>19</v>
      </c>
      <c r="D22" s="136">
        <v>358.63</v>
      </c>
      <c r="E22" s="136">
        <v>407.62</v>
      </c>
      <c r="F22" s="136">
        <v>369078.9</v>
      </c>
      <c r="G22" s="136">
        <v>1112.9100000000001</v>
      </c>
      <c r="H22" s="136">
        <v>403.01</v>
      </c>
      <c r="I22" s="136"/>
      <c r="J22" s="136"/>
      <c r="K22" s="136"/>
      <c r="L22" s="136"/>
      <c r="M22" s="136"/>
      <c r="N22" s="136">
        <v>28648.154999999999</v>
      </c>
      <c r="O22" s="136">
        <v>14077.25</v>
      </c>
      <c r="P22" s="136">
        <v>14835.05</v>
      </c>
      <c r="Q22" s="136">
        <v>18200.974460000001</v>
      </c>
      <c r="R22" s="136">
        <v>11046.558999999999</v>
      </c>
      <c r="S22" s="136">
        <f t="shared" si="15"/>
        <v>29006.785</v>
      </c>
      <c r="T22" s="136">
        <f t="shared" si="16"/>
        <v>14484.87</v>
      </c>
      <c r="U22" s="136">
        <f t="shared" si="17"/>
        <v>383913.95</v>
      </c>
      <c r="V22" s="136">
        <f t="shared" si="18"/>
        <v>19313.884460000001</v>
      </c>
      <c r="W22" s="136">
        <f t="shared" si="19"/>
        <v>11449.569</v>
      </c>
      <c r="X22" s="136">
        <f t="shared" si="6"/>
        <v>91633.811691999988</v>
      </c>
      <c r="Y22" s="136">
        <f t="shared" si="7"/>
        <v>91633.811691999988</v>
      </c>
      <c r="Z22" s="251">
        <v>190</v>
      </c>
      <c r="AA22" s="136">
        <f t="shared" si="8"/>
        <v>17410424.221479997</v>
      </c>
      <c r="AB22" s="147">
        <f t="shared" si="12"/>
        <v>0.9876363409457477</v>
      </c>
      <c r="AC22" s="147">
        <f t="shared" si="13"/>
        <v>0.97185891209241082</v>
      </c>
      <c r="AD22" s="147">
        <f t="shared" si="20"/>
        <v>3.8641601848539237E-2</v>
      </c>
      <c r="AE22" s="147">
        <f t="shared" si="21"/>
        <v>0.9423777230155389</v>
      </c>
      <c r="AF22" s="147">
        <f t="shared" si="14"/>
        <v>0.96480129514045465</v>
      </c>
      <c r="AG22" s="147">
        <f t="shared" si="10"/>
        <v>0.78106317460853825</v>
      </c>
      <c r="AH22" s="147">
        <f t="shared" si="11"/>
        <v>0.78106317460853825</v>
      </c>
      <c r="AI22" s="126">
        <f t="shared" si="2"/>
        <v>60</v>
      </c>
      <c r="AJ22" s="126">
        <f t="shared" si="3"/>
        <v>40</v>
      </c>
      <c r="AK22" s="148">
        <f t="shared" si="4"/>
        <v>50</v>
      </c>
      <c r="AL22" s="27"/>
    </row>
    <row r="23" spans="1:38" ht="15.95">
      <c r="A23" s="86">
        <v>19</v>
      </c>
      <c r="B23" s="242" t="s">
        <v>38</v>
      </c>
      <c r="C23" s="83" t="s">
        <v>19</v>
      </c>
      <c r="D23" s="136">
        <v>58002324.659999996</v>
      </c>
      <c r="E23" s="136">
        <v>55793980.240000002</v>
      </c>
      <c r="F23" s="136">
        <v>55581976.689999998</v>
      </c>
      <c r="G23" s="136">
        <v>43119876.420000002</v>
      </c>
      <c r="H23" s="136">
        <v>40664171.909999996</v>
      </c>
      <c r="I23" s="136">
        <v>188750.7562</v>
      </c>
      <c r="J23" s="136">
        <v>714785.60661999998</v>
      </c>
      <c r="K23" s="136">
        <v>1224453.2809299999</v>
      </c>
      <c r="L23" s="136">
        <v>888658.70447999996</v>
      </c>
      <c r="M23" s="136">
        <v>222716.93687999999</v>
      </c>
      <c r="N23" s="136">
        <v>3960.4481799999999</v>
      </c>
      <c r="O23" s="136">
        <v>6146.9254499999997</v>
      </c>
      <c r="P23" s="136">
        <v>2866.75695</v>
      </c>
      <c r="Q23" s="136">
        <v>2385.1843899999999</v>
      </c>
      <c r="R23" s="136">
        <v>2454.07366</v>
      </c>
      <c r="S23" s="136">
        <f t="shared" si="15"/>
        <v>57817534.351979993</v>
      </c>
      <c r="T23" s="136">
        <f t="shared" si="16"/>
        <v>55085341.55883</v>
      </c>
      <c r="U23" s="136">
        <f t="shared" si="17"/>
        <v>54360390.166019998</v>
      </c>
      <c r="V23" s="136">
        <f t="shared" si="18"/>
        <v>42233602.899910003</v>
      </c>
      <c r="W23" s="136">
        <f t="shared" si="19"/>
        <v>40443909.046779998</v>
      </c>
      <c r="X23" s="136">
        <f t="shared" si="6"/>
        <v>49988155.604704</v>
      </c>
      <c r="Y23" s="136">
        <f t="shared" si="7"/>
        <v>49988155.604704</v>
      </c>
      <c r="Z23" s="251">
        <v>16</v>
      </c>
      <c r="AA23" s="136">
        <f t="shared" si="8"/>
        <v>799810489.675264</v>
      </c>
      <c r="AB23" s="147">
        <f t="shared" si="12"/>
        <v>6.8499084652930589E-5</v>
      </c>
      <c r="AC23" s="147">
        <f t="shared" si="13"/>
        <v>1.1158913199140666E-4</v>
      </c>
      <c r="AD23" s="147">
        <f t="shared" si="20"/>
        <v>5.2736136389837281E-5</v>
      </c>
      <c r="AE23" s="147">
        <f t="shared" si="21"/>
        <v>5.6475986565784623E-5</v>
      </c>
      <c r="AF23" s="147">
        <f t="shared" si="14"/>
        <v>6.0678448692025846E-5</v>
      </c>
      <c r="AG23" s="147">
        <f t="shared" si="10"/>
        <v>6.9995757658396996E-5</v>
      </c>
      <c r="AH23" s="147">
        <f t="shared" si="11"/>
        <v>6.9995757658396996E-5</v>
      </c>
      <c r="AI23" s="126">
        <f t="shared" si="2"/>
        <v>100</v>
      </c>
      <c r="AJ23" s="126">
        <f t="shared" si="3"/>
        <v>100</v>
      </c>
      <c r="AK23" s="148">
        <f t="shared" si="4"/>
        <v>100</v>
      </c>
      <c r="AL23" s="27"/>
    </row>
    <row r="24" spans="1:38" ht="15.95">
      <c r="A24" s="86">
        <v>20</v>
      </c>
      <c r="B24" s="241" t="s">
        <v>39</v>
      </c>
      <c r="C24" s="82" t="s">
        <v>19</v>
      </c>
      <c r="D24" s="136">
        <v>0.61817500000000003</v>
      </c>
      <c r="E24" s="136">
        <v>0.59219790000000005</v>
      </c>
      <c r="F24" s="136">
        <v>0.89268749999999997</v>
      </c>
      <c r="G24" s="136">
        <v>0.87102690000000005</v>
      </c>
      <c r="H24" s="136">
        <v>1.0762231</v>
      </c>
      <c r="I24" s="136">
        <v>0.72582999999999998</v>
      </c>
      <c r="J24" s="136">
        <v>0.8629</v>
      </c>
      <c r="K24" s="136">
        <v>0.98263</v>
      </c>
      <c r="L24" s="136">
        <v>1.0732299999999999</v>
      </c>
      <c r="M24" s="136">
        <v>1.31904</v>
      </c>
      <c r="N24" s="136">
        <v>0.19005</v>
      </c>
      <c r="O24" s="136">
        <v>1.1379999999999999E-2</v>
      </c>
      <c r="P24" s="136">
        <v>4.6600000000000001E-3</v>
      </c>
      <c r="Q24" s="136">
        <v>2.31E-3</v>
      </c>
      <c r="R24" s="136">
        <v>2.5200000000000001E-3</v>
      </c>
      <c r="S24" s="136">
        <f t="shared" si="15"/>
        <v>8.2395000000000052E-2</v>
      </c>
      <c r="T24" s="136">
        <f t="shared" si="16"/>
        <v>-0.25932209999999994</v>
      </c>
      <c r="U24" s="136">
        <f t="shared" si="17"/>
        <v>-8.5282500000000039E-2</v>
      </c>
      <c r="V24" s="136">
        <f t="shared" si="18"/>
        <v>-0.19989309999999985</v>
      </c>
      <c r="W24" s="136">
        <f t="shared" si="19"/>
        <v>-0.24029690000000001</v>
      </c>
      <c r="X24" s="136">
        <f t="shared" si="6"/>
        <v>-0.14047991999999995</v>
      </c>
      <c r="Y24" s="136">
        <f t="shared" si="7"/>
        <v>0.14047991999999995</v>
      </c>
      <c r="Z24" s="253">
        <v>1274</v>
      </c>
      <c r="AA24" s="136">
        <f t="shared" si="8"/>
        <v>178.97141807999995</v>
      </c>
      <c r="AB24" s="147">
        <f t="shared" si="12"/>
        <v>2.306572000728198</v>
      </c>
      <c r="AC24" s="147">
        <f t="shared" si="13"/>
        <v>-4.3883648944690802E-2</v>
      </c>
      <c r="AD24" s="147">
        <f t="shared" si="20"/>
        <v>-5.4641925365696335E-2</v>
      </c>
      <c r="AE24" s="147">
        <f t="shared" si="21"/>
        <v>-1.1556176776487041E-2</v>
      </c>
      <c r="AF24" s="147">
        <f t="shared" si="14"/>
        <v>-1.0487026674085267E-2</v>
      </c>
      <c r="AG24" s="147">
        <f t="shared" si="10"/>
        <v>0.43720064459344776</v>
      </c>
      <c r="AH24" s="147">
        <f t="shared" si="11"/>
        <v>0.43720064459344776</v>
      </c>
      <c r="AI24" s="126">
        <f t="shared" si="2"/>
        <v>20</v>
      </c>
      <c r="AJ24" s="126">
        <f t="shared" si="3"/>
        <v>60</v>
      </c>
      <c r="AK24" s="148">
        <f t="shared" si="4"/>
        <v>40</v>
      </c>
      <c r="AL24" s="27"/>
    </row>
    <row r="25" spans="1:38" ht="15.95">
      <c r="A25" s="86">
        <v>21</v>
      </c>
      <c r="B25" s="242" t="s">
        <v>40</v>
      </c>
      <c r="C25" s="83" t="s">
        <v>19</v>
      </c>
      <c r="D25" s="136"/>
      <c r="E25" s="136"/>
      <c r="F25" s="136"/>
      <c r="G25" s="136"/>
      <c r="H25" s="136"/>
      <c r="I25" s="136"/>
      <c r="J25" s="136"/>
      <c r="K25" s="136"/>
      <c r="L25" s="136"/>
      <c r="M25" s="136"/>
      <c r="N25" s="136"/>
      <c r="O25" s="136"/>
      <c r="P25" s="136"/>
      <c r="Q25" s="136"/>
      <c r="R25" s="136"/>
      <c r="S25" s="136">
        <f t="shared" si="15"/>
        <v>0</v>
      </c>
      <c r="T25" s="136">
        <f t="shared" si="16"/>
        <v>0</v>
      </c>
      <c r="U25" s="136">
        <f t="shared" si="17"/>
        <v>0</v>
      </c>
      <c r="V25" s="136">
        <f t="shared" si="18"/>
        <v>0</v>
      </c>
      <c r="W25" s="136">
        <f t="shared" si="19"/>
        <v>0</v>
      </c>
      <c r="X25" s="136">
        <f t="shared" si="6"/>
        <v>0</v>
      </c>
      <c r="Y25" s="136">
        <f t="shared" si="7"/>
        <v>0</v>
      </c>
      <c r="Z25" s="253">
        <v>48000</v>
      </c>
      <c r="AA25" s="136"/>
      <c r="AB25" s="86" t="s">
        <v>22</v>
      </c>
      <c r="AC25" s="86" t="s">
        <v>22</v>
      </c>
      <c r="AD25" s="86" t="s">
        <v>22</v>
      </c>
      <c r="AE25" s="86" t="s">
        <v>22</v>
      </c>
      <c r="AF25" s="86" t="s">
        <v>22</v>
      </c>
      <c r="AG25" s="86" t="s">
        <v>22</v>
      </c>
      <c r="AH25" s="147"/>
      <c r="AI25" s="126">
        <f t="shared" si="2"/>
        <v>0</v>
      </c>
      <c r="AJ25" s="126">
        <f t="shared" si="3"/>
        <v>0</v>
      </c>
      <c r="AK25" s="148">
        <f t="shared" si="4"/>
        <v>0</v>
      </c>
      <c r="AL25" s="27"/>
    </row>
    <row r="26" spans="1:38" ht="15.95">
      <c r="A26" s="86">
        <v>22</v>
      </c>
      <c r="B26" s="242" t="s">
        <v>41</v>
      </c>
      <c r="C26" s="83" t="s">
        <v>19</v>
      </c>
      <c r="D26" s="136"/>
      <c r="E26" s="136"/>
      <c r="F26" s="136"/>
      <c r="G26" s="136"/>
      <c r="H26" s="136">
        <v>87.450540000000004</v>
      </c>
      <c r="I26" s="136">
        <v>0.17499999999999999</v>
      </c>
      <c r="J26" s="136"/>
      <c r="K26" s="136">
        <v>4.5835499999999998</v>
      </c>
      <c r="L26" s="136"/>
      <c r="M26" s="136">
        <v>1.7684599999999999</v>
      </c>
      <c r="N26" s="136">
        <v>3.3800000000000002E-3</v>
      </c>
      <c r="O26" s="136"/>
      <c r="P26" s="136"/>
      <c r="Q26" s="136"/>
      <c r="R26" s="136"/>
      <c r="S26" s="136">
        <f t="shared" si="15"/>
        <v>-0.17161999999999999</v>
      </c>
      <c r="T26" s="136">
        <f t="shared" si="16"/>
        <v>0</v>
      </c>
      <c r="U26" s="136">
        <f t="shared" si="17"/>
        <v>-4.5835499999999998</v>
      </c>
      <c r="V26" s="136">
        <f t="shared" si="18"/>
        <v>0</v>
      </c>
      <c r="W26" s="136">
        <f t="shared" si="19"/>
        <v>85.682079999999999</v>
      </c>
      <c r="X26" s="136">
        <f t="shared" si="6"/>
        <v>16.185381999999997</v>
      </c>
      <c r="Y26" s="136">
        <f t="shared" si="7"/>
        <v>16.185381999999997</v>
      </c>
      <c r="Z26" s="253">
        <v>72000</v>
      </c>
      <c r="AA26" s="136">
        <f t="shared" ref="AA26:AA34" si="22">+Y26*Z26</f>
        <v>1165347.5039999997</v>
      </c>
      <c r="AB26" s="147">
        <f t="shared" ref="AB26:AB34" si="23">N26/S26</f>
        <v>-1.9694674280386903E-2</v>
      </c>
      <c r="AC26" s="147"/>
      <c r="AD26" s="147">
        <f t="shared" ref="AD26:AD34" si="24">P26/U26</f>
        <v>0</v>
      </c>
      <c r="AE26" s="147"/>
      <c r="AF26" s="147">
        <f t="shared" ref="AF26:AF34" si="25">R26/W26</f>
        <v>0</v>
      </c>
      <c r="AG26" s="147">
        <f t="shared" ref="AG26:AG34" si="26">+SUM(AB26:AF26)/COUNT(AB26:AF26)</f>
        <v>-6.5648914267956342E-3</v>
      </c>
      <c r="AH26" s="147">
        <f t="shared" ref="AH26:AH34" si="27">+IF(AG26&gt;0,AG26,AG26*-1)</f>
        <v>6.5648914267956342E-3</v>
      </c>
      <c r="AI26" s="126">
        <f t="shared" si="2"/>
        <v>40</v>
      </c>
      <c r="AJ26" s="126">
        <f t="shared" si="3"/>
        <v>100</v>
      </c>
      <c r="AK26" s="148">
        <f t="shared" si="4"/>
        <v>70</v>
      </c>
      <c r="AL26" s="27"/>
    </row>
    <row r="27" spans="1:38" ht="15.95">
      <c r="A27" s="86">
        <v>23</v>
      </c>
      <c r="B27" s="241" t="s">
        <v>42</v>
      </c>
      <c r="C27" s="82" t="s">
        <v>19</v>
      </c>
      <c r="D27" s="136">
        <v>37694.6294643</v>
      </c>
      <c r="E27" s="136">
        <v>41155.050000000003</v>
      </c>
      <c r="F27" s="136">
        <v>38096.713392899997</v>
      </c>
      <c r="G27" s="136">
        <v>39549.984058000002</v>
      </c>
      <c r="H27" s="136">
        <v>35846.782633900002</v>
      </c>
      <c r="I27" s="136"/>
      <c r="J27" s="136"/>
      <c r="K27" s="136"/>
      <c r="L27" s="136"/>
      <c r="M27" s="136">
        <v>2.5000000000000001E-2</v>
      </c>
      <c r="N27" s="136">
        <v>103.85774000000001</v>
      </c>
      <c r="O27" s="136">
        <v>91.546009999999995</v>
      </c>
      <c r="P27" s="136">
        <v>61.336669999999998</v>
      </c>
      <c r="Q27" s="136">
        <v>59780.883880000001</v>
      </c>
      <c r="R27" s="136">
        <v>69.150000000000006</v>
      </c>
      <c r="S27" s="136">
        <f t="shared" si="15"/>
        <v>37798.4872043</v>
      </c>
      <c r="T27" s="136">
        <f t="shared" si="16"/>
        <v>41246.596010000001</v>
      </c>
      <c r="U27" s="136">
        <f t="shared" si="17"/>
        <v>38158.050062899994</v>
      </c>
      <c r="V27" s="136">
        <f t="shared" si="18"/>
        <v>99330.86793800001</v>
      </c>
      <c r="W27" s="136">
        <f t="shared" si="19"/>
        <v>35915.907633900002</v>
      </c>
      <c r="X27" s="136">
        <f t="shared" si="6"/>
        <v>50489.981769819999</v>
      </c>
      <c r="Y27" s="136">
        <f t="shared" si="7"/>
        <v>50489.981769819999</v>
      </c>
      <c r="Z27" s="253">
        <v>15149</v>
      </c>
      <c r="AA27" s="136">
        <f t="shared" si="22"/>
        <v>764872733.83100319</v>
      </c>
      <c r="AB27" s="147">
        <f t="shared" si="23"/>
        <v>2.7476692238673781E-3</v>
      </c>
      <c r="AC27" s="147">
        <f t="shared" ref="AC27:AC34" si="28">O27/T27</f>
        <v>2.2194803657932206E-3</v>
      </c>
      <c r="AD27" s="147">
        <f t="shared" si="24"/>
        <v>1.6074372222608913E-3</v>
      </c>
      <c r="AE27" s="147">
        <f t="shared" ref="AE27:AE34" si="29">Q27/V27</f>
        <v>0.60183591587374252</v>
      </c>
      <c r="AF27" s="147">
        <f t="shared" si="25"/>
        <v>1.9253307115293752E-3</v>
      </c>
      <c r="AG27" s="147">
        <f t="shared" si="26"/>
        <v>0.12206716667943866</v>
      </c>
      <c r="AH27" s="147">
        <f t="shared" si="27"/>
        <v>0.12206716667943866</v>
      </c>
      <c r="AI27" s="126">
        <f t="shared" si="2"/>
        <v>100</v>
      </c>
      <c r="AJ27" s="126">
        <f t="shared" si="3"/>
        <v>80</v>
      </c>
      <c r="AK27" s="148">
        <f t="shared" si="4"/>
        <v>90</v>
      </c>
      <c r="AL27" s="27"/>
    </row>
    <row r="28" spans="1:38" ht="15.95">
      <c r="A28" s="86">
        <v>24</v>
      </c>
      <c r="B28" s="241" t="s">
        <v>43</v>
      </c>
      <c r="C28" s="82" t="s">
        <v>19</v>
      </c>
      <c r="D28" s="136">
        <v>58.1059938</v>
      </c>
      <c r="E28" s="136">
        <v>54.660312099999999</v>
      </c>
      <c r="F28" s="136">
        <v>61.333424899999997</v>
      </c>
      <c r="G28" s="136">
        <v>56.730969799999997</v>
      </c>
      <c r="H28" s="136">
        <v>51.149151000000003</v>
      </c>
      <c r="I28" s="136">
        <v>76.843580000000003</v>
      </c>
      <c r="J28" s="136">
        <v>67.510440000000003</v>
      </c>
      <c r="K28" s="136">
        <v>68.487200000000001</v>
      </c>
      <c r="L28" s="136">
        <v>67.020759999999996</v>
      </c>
      <c r="M28" s="136">
        <v>57.014339999999997</v>
      </c>
      <c r="N28" s="136">
        <v>6.9999999999999994E-5</v>
      </c>
      <c r="O28" s="136">
        <v>2.0000000000000002E-5</v>
      </c>
      <c r="P28" s="136">
        <v>4.0999999999999999E-4</v>
      </c>
      <c r="Q28" s="136"/>
      <c r="R28" s="136">
        <v>1.8000000000000001E-4</v>
      </c>
      <c r="S28" s="136">
        <f t="shared" si="15"/>
        <v>-18.737516200000002</v>
      </c>
      <c r="T28" s="136">
        <f t="shared" si="16"/>
        <v>-12.850107900000005</v>
      </c>
      <c r="U28" s="136">
        <f t="shared" si="17"/>
        <v>-7.1533651000000047</v>
      </c>
      <c r="V28" s="136">
        <f t="shared" si="18"/>
        <v>-10.289790199999999</v>
      </c>
      <c r="W28" s="136">
        <f t="shared" si="19"/>
        <v>-5.8650089999999935</v>
      </c>
      <c r="X28" s="136">
        <f t="shared" si="6"/>
        <v>-10.97915768</v>
      </c>
      <c r="Y28" s="136">
        <f t="shared" si="7"/>
        <v>10.97915768</v>
      </c>
      <c r="Z28" s="253">
        <v>110430719</v>
      </c>
      <c r="AA28" s="136">
        <f t="shared" si="22"/>
        <v>1212436276.6167719</v>
      </c>
      <c r="AB28" s="147">
        <f t="shared" si="23"/>
        <v>-3.7358206526860796E-6</v>
      </c>
      <c r="AC28" s="147">
        <f t="shared" si="28"/>
        <v>-1.5564071644877002E-6</v>
      </c>
      <c r="AD28" s="147">
        <f t="shared" si="24"/>
        <v>-5.7315682097646563E-5</v>
      </c>
      <c r="AE28" s="147">
        <f t="shared" si="29"/>
        <v>0</v>
      </c>
      <c r="AF28" s="147">
        <f t="shared" si="25"/>
        <v>-3.0690489989017953E-5</v>
      </c>
      <c r="AG28" s="147">
        <f t="shared" si="26"/>
        <v>-1.8659679980767658E-5</v>
      </c>
      <c r="AH28" s="147">
        <f t="shared" si="27"/>
        <v>1.8659679980767658E-5</v>
      </c>
      <c r="AI28" s="126">
        <f t="shared" si="2"/>
        <v>100</v>
      </c>
      <c r="AJ28" s="126">
        <f t="shared" si="3"/>
        <v>100</v>
      </c>
      <c r="AK28" s="148">
        <f t="shared" si="4"/>
        <v>100</v>
      </c>
      <c r="AL28" s="27"/>
    </row>
    <row r="29" spans="1:38" ht="15.95">
      <c r="A29" s="86">
        <v>25</v>
      </c>
      <c r="B29" s="241" t="s">
        <v>44</v>
      </c>
      <c r="C29" s="82" t="s">
        <v>19</v>
      </c>
      <c r="D29" s="136">
        <v>27.6317874</v>
      </c>
      <c r="E29" s="136">
        <v>37.429543099999997</v>
      </c>
      <c r="F29" s="136">
        <v>51.757962800000001</v>
      </c>
      <c r="G29" s="136">
        <v>57.034407999999999</v>
      </c>
      <c r="H29" s="136">
        <v>60.357059999999997</v>
      </c>
      <c r="I29" s="136">
        <v>6.6659199999999998</v>
      </c>
      <c r="J29" s="136">
        <v>6.4864899999999999</v>
      </c>
      <c r="K29" s="136">
        <v>9.8376300000000008</v>
      </c>
      <c r="L29" s="136">
        <v>17.674990000000001</v>
      </c>
      <c r="M29" s="136">
        <v>16.513110000000001</v>
      </c>
      <c r="N29" s="136">
        <v>9.6270100000000003</v>
      </c>
      <c r="O29" s="136">
        <v>4.3459000000000003</v>
      </c>
      <c r="P29" s="136">
        <v>3.2241300000000002</v>
      </c>
      <c r="Q29" s="136">
        <v>1.26586</v>
      </c>
      <c r="R29" s="136">
        <v>1.12442</v>
      </c>
      <c r="S29" s="136">
        <f t="shared" si="15"/>
        <v>30.592877399999999</v>
      </c>
      <c r="T29" s="136">
        <f t="shared" si="16"/>
        <v>35.288953100000001</v>
      </c>
      <c r="U29" s="136">
        <f t="shared" si="17"/>
        <v>45.144462799999999</v>
      </c>
      <c r="V29" s="136">
        <f t="shared" si="18"/>
        <v>40.625277999999994</v>
      </c>
      <c r="W29" s="136">
        <f t="shared" si="19"/>
        <v>44.968369999999993</v>
      </c>
      <c r="X29" s="136">
        <f t="shared" si="6"/>
        <v>39.32398826</v>
      </c>
      <c r="Y29" s="136">
        <f t="shared" si="7"/>
        <v>39.32398826</v>
      </c>
      <c r="Z29" s="253">
        <v>1284101</v>
      </c>
      <c r="AA29" s="136">
        <f t="shared" si="22"/>
        <v>50495972.64865426</v>
      </c>
      <c r="AB29" s="147">
        <f t="shared" si="23"/>
        <v>0.31468141666203653</v>
      </c>
      <c r="AC29" s="147">
        <f t="shared" si="28"/>
        <v>0.12315185400045206</v>
      </c>
      <c r="AD29" s="147">
        <f t="shared" si="24"/>
        <v>7.1418061042914885E-2</v>
      </c>
      <c r="AE29" s="147">
        <f t="shared" si="29"/>
        <v>3.115941754293965E-2</v>
      </c>
      <c r="AF29" s="147">
        <f t="shared" si="25"/>
        <v>2.5004686627511742E-2</v>
      </c>
      <c r="AG29" s="147">
        <f t="shared" si="26"/>
        <v>0.11308308717517097</v>
      </c>
      <c r="AH29" s="147">
        <f t="shared" si="27"/>
        <v>0.11308308717517097</v>
      </c>
      <c r="AI29" s="126">
        <f t="shared" si="2"/>
        <v>80</v>
      </c>
      <c r="AJ29" s="126">
        <f t="shared" si="3"/>
        <v>80</v>
      </c>
      <c r="AK29" s="148">
        <f t="shared" si="4"/>
        <v>80</v>
      </c>
      <c r="AL29" s="27"/>
    </row>
    <row r="30" spans="1:38" ht="15.95">
      <c r="A30" s="86">
        <v>26</v>
      </c>
      <c r="B30" s="241" t="s">
        <v>45</v>
      </c>
      <c r="C30" s="82" t="s">
        <v>19</v>
      </c>
      <c r="D30" s="136">
        <v>4.0000000000000003E-5</v>
      </c>
      <c r="E30" s="136">
        <v>3.0000000000000001E-5</v>
      </c>
      <c r="F30" s="136">
        <v>15389.69644</v>
      </c>
      <c r="G30" s="136">
        <v>638.67309999999998</v>
      </c>
      <c r="H30" s="136">
        <v>638.31446000000005</v>
      </c>
      <c r="I30" s="136"/>
      <c r="J30" s="136"/>
      <c r="K30" s="136"/>
      <c r="L30" s="136"/>
      <c r="M30" s="136"/>
      <c r="N30" s="136">
        <v>1.45156</v>
      </c>
      <c r="O30" s="136">
        <v>8.3462399999999999</v>
      </c>
      <c r="P30" s="136">
        <v>3.9916800000000001</v>
      </c>
      <c r="Q30" s="136">
        <v>0.9</v>
      </c>
      <c r="R30" s="136"/>
      <c r="S30" s="136">
        <f t="shared" si="15"/>
        <v>1.4516</v>
      </c>
      <c r="T30" s="136">
        <f t="shared" si="16"/>
        <v>8.3462700000000005</v>
      </c>
      <c r="U30" s="136">
        <f t="shared" si="17"/>
        <v>15393.688119999999</v>
      </c>
      <c r="V30" s="136">
        <f t="shared" si="18"/>
        <v>639.57309999999995</v>
      </c>
      <c r="W30" s="136">
        <f t="shared" si="19"/>
        <v>638.31446000000005</v>
      </c>
      <c r="X30" s="136">
        <f t="shared" si="6"/>
        <v>3336.2747100000001</v>
      </c>
      <c r="Y30" s="136">
        <f t="shared" si="7"/>
        <v>3336.2747100000001</v>
      </c>
      <c r="Z30" s="253">
        <v>1970</v>
      </c>
      <c r="AA30" s="136">
        <f t="shared" si="22"/>
        <v>6572461.1787</v>
      </c>
      <c r="AB30" s="147">
        <f t="shared" si="23"/>
        <v>0.99997244419950393</v>
      </c>
      <c r="AC30" s="147">
        <f t="shared" si="28"/>
        <v>0.9999964055799776</v>
      </c>
      <c r="AD30" s="147">
        <f t="shared" si="24"/>
        <v>2.5930627987804137E-4</v>
      </c>
      <c r="AE30" s="147">
        <f t="shared" si="29"/>
        <v>1.4071886387967225E-3</v>
      </c>
      <c r="AF30" s="147">
        <f t="shared" si="25"/>
        <v>0</v>
      </c>
      <c r="AG30" s="147">
        <f>+SUM(AB30:AF30)/COUNT(AB30:AF30)</f>
        <v>0.40032706893963121</v>
      </c>
      <c r="AH30" s="147">
        <f t="shared" si="27"/>
        <v>0.40032706893963121</v>
      </c>
      <c r="AI30" s="126">
        <f t="shared" si="2"/>
        <v>40</v>
      </c>
      <c r="AJ30" s="126">
        <f t="shared" si="3"/>
        <v>60</v>
      </c>
      <c r="AK30" s="148">
        <f t="shared" si="4"/>
        <v>50</v>
      </c>
      <c r="AL30" s="27"/>
    </row>
    <row r="31" spans="1:38" ht="15.95">
      <c r="A31" s="86">
        <v>27</v>
      </c>
      <c r="B31" s="241" t="s">
        <v>46</v>
      </c>
      <c r="C31" s="82" t="s">
        <v>19</v>
      </c>
      <c r="D31" s="136"/>
      <c r="E31" s="136"/>
      <c r="F31" s="136"/>
      <c r="G31" s="136"/>
      <c r="H31" s="136"/>
      <c r="I31" s="136"/>
      <c r="J31" s="136"/>
      <c r="K31" s="136"/>
      <c r="L31" s="136"/>
      <c r="M31" s="136"/>
      <c r="N31" s="136">
        <v>617189.11867999996</v>
      </c>
      <c r="O31" s="136">
        <v>420619.54810999997</v>
      </c>
      <c r="P31" s="136">
        <v>517552.66794999997</v>
      </c>
      <c r="Q31" s="136">
        <v>603147.29596000002</v>
      </c>
      <c r="R31" s="136">
        <v>638617.49034999998</v>
      </c>
      <c r="S31" s="136">
        <f t="shared" si="15"/>
        <v>617189.11867999996</v>
      </c>
      <c r="T31" s="136">
        <f t="shared" si="16"/>
        <v>420619.54810999997</v>
      </c>
      <c r="U31" s="136">
        <f t="shared" si="17"/>
        <v>517552.66794999997</v>
      </c>
      <c r="V31" s="136">
        <f t="shared" si="18"/>
        <v>603147.29596000002</v>
      </c>
      <c r="W31" s="136">
        <f t="shared" si="19"/>
        <v>638617.49034999998</v>
      </c>
      <c r="X31" s="136">
        <f t="shared" si="6"/>
        <v>559425.2242099999</v>
      </c>
      <c r="Y31" s="136">
        <f t="shared" si="7"/>
        <v>559425.2242099999</v>
      </c>
      <c r="Z31" s="251">
        <v>270</v>
      </c>
      <c r="AA31" s="136">
        <f t="shared" si="22"/>
        <v>151044810.53669998</v>
      </c>
      <c r="AB31" s="147">
        <f t="shared" si="23"/>
        <v>1</v>
      </c>
      <c r="AC31" s="147">
        <f t="shared" si="28"/>
        <v>1</v>
      </c>
      <c r="AD31" s="147">
        <f t="shared" si="24"/>
        <v>1</v>
      </c>
      <c r="AE31" s="147">
        <f t="shared" si="29"/>
        <v>1</v>
      </c>
      <c r="AF31" s="147">
        <f t="shared" si="25"/>
        <v>1</v>
      </c>
      <c r="AG31" s="147">
        <f t="shared" si="26"/>
        <v>1</v>
      </c>
      <c r="AH31" s="147">
        <f t="shared" si="27"/>
        <v>1</v>
      </c>
      <c r="AI31" s="126">
        <f t="shared" si="2"/>
        <v>100</v>
      </c>
      <c r="AJ31" s="126">
        <f t="shared" si="3"/>
        <v>20</v>
      </c>
      <c r="AK31" s="148">
        <f t="shared" si="4"/>
        <v>60</v>
      </c>
      <c r="AL31" s="27"/>
    </row>
    <row r="32" spans="1:38" ht="15.95">
      <c r="A32" s="86">
        <v>28</v>
      </c>
      <c r="B32" s="241" t="s">
        <v>47</v>
      </c>
      <c r="C32" s="82" t="s">
        <v>19</v>
      </c>
      <c r="D32" s="136">
        <v>68457.36</v>
      </c>
      <c r="E32" s="136">
        <v>76422.34</v>
      </c>
      <c r="F32" s="136">
        <v>62080.65</v>
      </c>
      <c r="G32" s="136">
        <v>65107.33</v>
      </c>
      <c r="H32" s="136">
        <v>75585.13</v>
      </c>
      <c r="I32" s="136">
        <v>172.5</v>
      </c>
      <c r="J32" s="136">
        <v>170.9</v>
      </c>
      <c r="K32" s="136"/>
      <c r="L32" s="136">
        <v>0.9</v>
      </c>
      <c r="M32" s="136">
        <v>0.3</v>
      </c>
      <c r="N32" s="136">
        <v>58157.812039999997</v>
      </c>
      <c r="O32" s="136">
        <v>31563.04264</v>
      </c>
      <c r="P32" s="136">
        <v>31063.099440000002</v>
      </c>
      <c r="Q32" s="136">
        <v>28693.6646</v>
      </c>
      <c r="R32" s="136">
        <v>29555.595280000001</v>
      </c>
      <c r="S32" s="136">
        <f t="shared" si="15"/>
        <v>126442.67204</v>
      </c>
      <c r="T32" s="136">
        <f t="shared" si="16"/>
        <v>107814.48264</v>
      </c>
      <c r="U32" s="136">
        <f t="shared" si="17"/>
        <v>93143.74944</v>
      </c>
      <c r="V32" s="136">
        <f t="shared" si="18"/>
        <v>93800.094599999997</v>
      </c>
      <c r="W32" s="136">
        <f t="shared" si="19"/>
        <v>105140.42528</v>
      </c>
      <c r="X32" s="136">
        <f t="shared" si="6"/>
        <v>105268.28479999999</v>
      </c>
      <c r="Y32" s="136">
        <f t="shared" si="7"/>
        <v>105268.28479999999</v>
      </c>
      <c r="Z32" s="251">
        <v>153</v>
      </c>
      <c r="AA32" s="136">
        <f t="shared" si="22"/>
        <v>16106047.574399998</v>
      </c>
      <c r="AB32" s="147">
        <f t="shared" si="23"/>
        <v>0.45995399418324406</v>
      </c>
      <c r="AC32" s="147">
        <f t="shared" si="28"/>
        <v>0.29275327272488222</v>
      </c>
      <c r="AD32" s="147">
        <f t="shared" si="24"/>
        <v>0.33349633901102277</v>
      </c>
      <c r="AE32" s="147">
        <f t="shared" si="29"/>
        <v>0.30590229916463219</v>
      </c>
      <c r="AF32" s="147">
        <f t="shared" si="25"/>
        <v>0.28110591336577101</v>
      </c>
      <c r="AG32" s="147">
        <f t="shared" si="26"/>
        <v>0.3346423636899104</v>
      </c>
      <c r="AH32" s="147">
        <f t="shared" si="27"/>
        <v>0.3346423636899104</v>
      </c>
      <c r="AI32" s="126">
        <f t="shared" si="2"/>
        <v>60</v>
      </c>
      <c r="AJ32" s="126">
        <f t="shared" si="3"/>
        <v>60</v>
      </c>
      <c r="AK32" s="148">
        <f t="shared" si="4"/>
        <v>60</v>
      </c>
      <c r="AL32" s="27"/>
    </row>
    <row r="33" spans="1:38" ht="15.95">
      <c r="A33" s="86">
        <v>29</v>
      </c>
      <c r="B33" s="241" t="s">
        <v>48</v>
      </c>
      <c r="C33" s="82" t="s">
        <v>19</v>
      </c>
      <c r="D33" s="136"/>
      <c r="E33" s="136"/>
      <c r="F33" s="136"/>
      <c r="G33" s="136"/>
      <c r="H33" s="136"/>
      <c r="I33" s="136"/>
      <c r="J33" s="136"/>
      <c r="K33" s="136"/>
      <c r="L33" s="136"/>
      <c r="M33" s="136"/>
      <c r="N33" s="136">
        <v>122488.18915000001</v>
      </c>
      <c r="O33" s="136">
        <v>130257.4437</v>
      </c>
      <c r="P33" s="136">
        <v>135014.45329</v>
      </c>
      <c r="Q33" s="136">
        <v>133165.79431999999</v>
      </c>
      <c r="R33" s="136">
        <v>157134.81086</v>
      </c>
      <c r="S33" s="136">
        <f t="shared" si="15"/>
        <v>122488.18915000001</v>
      </c>
      <c r="T33" s="136">
        <f t="shared" si="16"/>
        <v>130257.4437</v>
      </c>
      <c r="U33" s="136">
        <f t="shared" si="17"/>
        <v>135014.45329</v>
      </c>
      <c r="V33" s="136">
        <f t="shared" si="18"/>
        <v>133165.79431999999</v>
      </c>
      <c r="W33" s="136">
        <f t="shared" si="19"/>
        <v>157134.81086</v>
      </c>
      <c r="X33" s="136">
        <f t="shared" si="6"/>
        <v>135612.13826400001</v>
      </c>
      <c r="Y33" s="136">
        <f t="shared" si="7"/>
        <v>135612.13826400001</v>
      </c>
      <c r="Z33" s="251">
        <v>270</v>
      </c>
      <c r="AA33" s="136">
        <f t="shared" si="22"/>
        <v>36615277.331280001</v>
      </c>
      <c r="AB33" s="147">
        <f t="shared" si="23"/>
        <v>1</v>
      </c>
      <c r="AC33" s="147">
        <f t="shared" si="28"/>
        <v>1</v>
      </c>
      <c r="AD33" s="147">
        <f t="shared" si="24"/>
        <v>1</v>
      </c>
      <c r="AE33" s="147">
        <f t="shared" si="29"/>
        <v>1</v>
      </c>
      <c r="AF33" s="147">
        <f t="shared" si="25"/>
        <v>1</v>
      </c>
      <c r="AG33" s="147">
        <f t="shared" si="26"/>
        <v>1</v>
      </c>
      <c r="AH33" s="147">
        <f t="shared" si="27"/>
        <v>1</v>
      </c>
      <c r="AI33" s="126">
        <f t="shared" si="2"/>
        <v>60</v>
      </c>
      <c r="AJ33" s="126">
        <f t="shared" si="3"/>
        <v>20</v>
      </c>
      <c r="AK33" s="148">
        <f t="shared" si="4"/>
        <v>40</v>
      </c>
      <c r="AL33" s="27"/>
    </row>
    <row r="34" spans="1:38" ht="15.95">
      <c r="A34" s="86">
        <v>30</v>
      </c>
      <c r="B34" s="241" t="s">
        <v>49</v>
      </c>
      <c r="C34" s="82" t="s">
        <v>19</v>
      </c>
      <c r="D34" s="136"/>
      <c r="E34" s="136"/>
      <c r="F34" s="136">
        <v>9.5829999999999999E-2</v>
      </c>
      <c r="G34" s="136">
        <v>130.20952</v>
      </c>
      <c r="H34" s="136">
        <v>2.3103500000000001</v>
      </c>
      <c r="I34" s="136">
        <v>29</v>
      </c>
      <c r="J34" s="136">
        <v>286</v>
      </c>
      <c r="K34" s="136">
        <v>234.00550000000001</v>
      </c>
      <c r="L34" s="136"/>
      <c r="M34" s="136">
        <v>260.2</v>
      </c>
      <c r="N34" s="136">
        <v>1115.5591300000001</v>
      </c>
      <c r="O34" s="136">
        <v>949.03200000000004</v>
      </c>
      <c r="P34" s="136">
        <v>888.26823999999999</v>
      </c>
      <c r="Q34" s="136">
        <v>878.08180000000004</v>
      </c>
      <c r="R34" s="136">
        <v>910.91646000000003</v>
      </c>
      <c r="S34" s="136">
        <f t="shared" si="15"/>
        <v>1086.5591300000001</v>
      </c>
      <c r="T34" s="136">
        <f t="shared" si="16"/>
        <v>663.03200000000004</v>
      </c>
      <c r="U34" s="136">
        <f t="shared" si="17"/>
        <v>654.35856999999999</v>
      </c>
      <c r="V34" s="136">
        <f t="shared" si="18"/>
        <v>1008.29132</v>
      </c>
      <c r="W34" s="136">
        <f t="shared" si="19"/>
        <v>653.02681000000007</v>
      </c>
      <c r="X34" s="136">
        <f t="shared" si="6"/>
        <v>813.05356600000016</v>
      </c>
      <c r="Y34" s="136">
        <f t="shared" si="7"/>
        <v>813.05356600000016</v>
      </c>
      <c r="Z34" s="253">
        <v>1450</v>
      </c>
      <c r="AA34" s="136">
        <f t="shared" si="22"/>
        <v>1178927.6707000001</v>
      </c>
      <c r="AB34" s="147">
        <f t="shared" si="23"/>
        <v>1.0266897577861225</v>
      </c>
      <c r="AC34" s="147">
        <f t="shared" si="28"/>
        <v>1.4313517296299425</v>
      </c>
      <c r="AD34" s="147">
        <f t="shared" si="24"/>
        <v>1.3574640582761834</v>
      </c>
      <c r="AE34" s="147">
        <f t="shared" si="29"/>
        <v>0.87086121102381409</v>
      </c>
      <c r="AF34" s="147">
        <f t="shared" si="25"/>
        <v>1.3949143374373862</v>
      </c>
      <c r="AG34" s="147">
        <f t="shared" si="26"/>
        <v>1.2162562188306898</v>
      </c>
      <c r="AH34" s="147">
        <f t="shared" si="27"/>
        <v>1.2162562188306898</v>
      </c>
      <c r="AI34" s="126">
        <f t="shared" si="2"/>
        <v>40</v>
      </c>
      <c r="AJ34" s="126">
        <f t="shared" si="3"/>
        <v>20</v>
      </c>
      <c r="AK34" s="148">
        <f t="shared" si="4"/>
        <v>30</v>
      </c>
      <c r="AL34" s="27"/>
    </row>
    <row r="35" spans="1:38" ht="15.95">
      <c r="A35" s="86">
        <v>31</v>
      </c>
      <c r="B35" s="241" t="s">
        <v>50</v>
      </c>
      <c r="C35" s="82" t="s">
        <v>19</v>
      </c>
      <c r="D35" s="136"/>
      <c r="E35" s="136"/>
      <c r="F35" s="136"/>
      <c r="G35" s="136"/>
      <c r="H35" s="136"/>
      <c r="I35" s="136"/>
      <c r="J35" s="136"/>
      <c r="K35" s="136"/>
      <c r="L35" s="136"/>
      <c r="M35" s="136"/>
      <c r="N35" s="136"/>
      <c r="O35" s="136"/>
      <c r="P35" s="136"/>
      <c r="Q35" s="136"/>
      <c r="R35" s="136"/>
      <c r="S35" s="136">
        <f t="shared" si="15"/>
        <v>0</v>
      </c>
      <c r="T35" s="136">
        <f t="shared" si="16"/>
        <v>0</v>
      </c>
      <c r="U35" s="136">
        <f t="shared" si="17"/>
        <v>0</v>
      </c>
      <c r="V35" s="136">
        <f t="shared" si="18"/>
        <v>0</v>
      </c>
      <c r="W35" s="136">
        <f t="shared" si="19"/>
        <v>0</v>
      </c>
      <c r="X35" s="136">
        <f t="shared" si="6"/>
        <v>0</v>
      </c>
      <c r="Y35" s="136">
        <f t="shared" si="7"/>
        <v>0</v>
      </c>
      <c r="Z35" s="253">
        <v>158800</v>
      </c>
      <c r="AA35" s="136"/>
      <c r="AB35" s="86" t="s">
        <v>22</v>
      </c>
      <c r="AC35" s="86" t="s">
        <v>22</v>
      </c>
      <c r="AD35" s="86" t="s">
        <v>22</v>
      </c>
      <c r="AE35" s="86" t="s">
        <v>22</v>
      </c>
      <c r="AF35" s="86" t="s">
        <v>22</v>
      </c>
      <c r="AG35" s="86" t="s">
        <v>22</v>
      </c>
      <c r="AH35" s="147"/>
      <c r="AI35" s="126">
        <f t="shared" si="2"/>
        <v>0</v>
      </c>
      <c r="AJ35" s="126">
        <f t="shared" si="3"/>
        <v>0</v>
      </c>
      <c r="AK35" s="148">
        <f t="shared" si="4"/>
        <v>0</v>
      </c>
      <c r="AL35" s="27"/>
    </row>
    <row r="36" spans="1:38" ht="15.95">
      <c r="A36" s="86">
        <v>32</v>
      </c>
      <c r="B36" s="242" t="s">
        <v>51</v>
      </c>
      <c r="C36" s="83" t="s">
        <v>19</v>
      </c>
      <c r="D36" s="136"/>
      <c r="E36" s="136"/>
      <c r="F36" s="136"/>
      <c r="G36" s="136"/>
      <c r="H36" s="136"/>
      <c r="I36" s="136"/>
      <c r="J36" s="136"/>
      <c r="K36" s="136">
        <v>1.15055</v>
      </c>
      <c r="L36" s="136"/>
      <c r="M36" s="136"/>
      <c r="N36" s="136">
        <v>1.8212200000000001</v>
      </c>
      <c r="O36" s="136">
        <v>2.2033299999999998</v>
      </c>
      <c r="P36" s="136">
        <v>0.95382999999999996</v>
      </c>
      <c r="Q36" s="136">
        <v>2.4238400000000002</v>
      </c>
      <c r="R36" s="136">
        <v>2.5710199999999999</v>
      </c>
      <c r="S36" s="136">
        <f t="shared" si="15"/>
        <v>1.8212200000000001</v>
      </c>
      <c r="T36" s="136">
        <f t="shared" si="16"/>
        <v>2.2033299999999998</v>
      </c>
      <c r="U36" s="136">
        <f t="shared" si="17"/>
        <v>-0.19672000000000001</v>
      </c>
      <c r="V36" s="136">
        <f t="shared" si="18"/>
        <v>2.4238400000000002</v>
      </c>
      <c r="W36" s="136">
        <f t="shared" si="19"/>
        <v>2.5710199999999999</v>
      </c>
      <c r="X36" s="136">
        <f t="shared" si="6"/>
        <v>1.7645379999999999</v>
      </c>
      <c r="Y36" s="136">
        <f t="shared" si="7"/>
        <v>1.7645379999999999</v>
      </c>
      <c r="Z36" s="253">
        <v>42000</v>
      </c>
      <c r="AA36" s="136">
        <f>+Y36*Z36</f>
        <v>74110.59599999999</v>
      </c>
      <c r="AB36" s="147">
        <f t="shared" ref="AB36:AF37" si="30">N36/S36</f>
        <v>1</v>
      </c>
      <c r="AC36" s="147">
        <f t="shared" si="30"/>
        <v>1</v>
      </c>
      <c r="AD36" s="147">
        <f t="shared" si="30"/>
        <v>-4.848668157787718</v>
      </c>
      <c r="AE36" s="147">
        <f t="shared" si="30"/>
        <v>1</v>
      </c>
      <c r="AF36" s="147">
        <f t="shared" si="30"/>
        <v>1</v>
      </c>
      <c r="AG36" s="147">
        <f>+SUM(AB36:AF36)/COUNT(AB36:AF36)</f>
        <v>-0.16973363155754359</v>
      </c>
      <c r="AH36" s="147">
        <f>+IF(AG36&gt;0,AG36,AG36*-1)</f>
        <v>0.16973363155754359</v>
      </c>
      <c r="AI36" s="126">
        <f t="shared" si="2"/>
        <v>20</v>
      </c>
      <c r="AJ36" s="126">
        <f t="shared" si="3"/>
        <v>80</v>
      </c>
      <c r="AK36" s="148">
        <f t="shared" si="4"/>
        <v>50</v>
      </c>
      <c r="AL36" s="27"/>
    </row>
    <row r="37" spans="1:38" ht="15.95">
      <c r="A37" s="86">
        <v>33</v>
      </c>
      <c r="B37" s="241" t="s">
        <v>52</v>
      </c>
      <c r="C37" s="82" t="s">
        <v>19</v>
      </c>
      <c r="D37" s="136">
        <v>408681.1</v>
      </c>
      <c r="E37" s="136">
        <v>480748.17</v>
      </c>
      <c r="F37" s="136">
        <v>389107.48</v>
      </c>
      <c r="G37" s="136">
        <v>638051.37</v>
      </c>
      <c r="H37" s="136">
        <v>509850.46</v>
      </c>
      <c r="I37" s="136">
        <v>8656.6749999999993</v>
      </c>
      <c r="J37" s="136">
        <v>10949.510200000001</v>
      </c>
      <c r="K37" s="136">
        <v>8443.7411499999998</v>
      </c>
      <c r="L37" s="136">
        <v>10548.97193</v>
      </c>
      <c r="M37" s="136">
        <v>10100.438459999999</v>
      </c>
      <c r="N37" s="136">
        <v>458820.86803000001</v>
      </c>
      <c r="O37" s="136">
        <v>393252.91509999998</v>
      </c>
      <c r="P37" s="136">
        <v>412281.01283000002</v>
      </c>
      <c r="Q37" s="136">
        <v>280461.27415000001</v>
      </c>
      <c r="R37" s="136">
        <v>439105.33451999997</v>
      </c>
      <c r="S37" s="136">
        <f t="shared" si="15"/>
        <v>858845.29303000006</v>
      </c>
      <c r="T37" s="136">
        <f t="shared" si="16"/>
        <v>863051.57489999989</v>
      </c>
      <c r="U37" s="136">
        <f t="shared" si="17"/>
        <v>792944.75167999999</v>
      </c>
      <c r="V37" s="136">
        <f t="shared" si="18"/>
        <v>907963.67222000007</v>
      </c>
      <c r="W37" s="136">
        <f t="shared" si="19"/>
        <v>938855.35606000002</v>
      </c>
      <c r="X37" s="136">
        <f t="shared" si="6"/>
        <v>872332.12957799993</v>
      </c>
      <c r="Y37" s="136">
        <f t="shared" si="7"/>
        <v>872332.12957799993</v>
      </c>
      <c r="Z37" s="251">
        <v>16</v>
      </c>
      <c r="AA37" s="136">
        <f>+Y37*Z37</f>
        <v>13957314.073247999</v>
      </c>
      <c r="AB37" s="147">
        <f t="shared" si="30"/>
        <v>0.53422993844593747</v>
      </c>
      <c r="AC37" s="147">
        <f t="shared" si="30"/>
        <v>0.45565401482010554</v>
      </c>
      <c r="AD37" s="147">
        <f t="shared" si="30"/>
        <v>0.51993661848004735</v>
      </c>
      <c r="AE37" s="147">
        <f t="shared" si="30"/>
        <v>0.30889041349447743</v>
      </c>
      <c r="AF37" s="147">
        <f t="shared" si="30"/>
        <v>0.4677028593230263</v>
      </c>
      <c r="AG37" s="147">
        <f>+SUM(AB37:AF37)/COUNT(AB37:AF37)</f>
        <v>0.45728276891271885</v>
      </c>
      <c r="AH37" s="147">
        <f>+IF(AG37&gt;0,AG37,AG37*-1)</f>
        <v>0.45728276891271885</v>
      </c>
      <c r="AI37" s="126">
        <f t="shared" si="2"/>
        <v>60</v>
      </c>
      <c r="AJ37" s="126">
        <f t="shared" si="3"/>
        <v>60</v>
      </c>
      <c r="AK37" s="148">
        <f t="shared" si="4"/>
        <v>60</v>
      </c>
      <c r="AL37" s="27"/>
    </row>
    <row r="38" spans="1:38" ht="15.95">
      <c r="A38" s="86">
        <v>34</v>
      </c>
      <c r="B38" s="241" t="s">
        <v>53</v>
      </c>
      <c r="C38" s="82" t="s">
        <v>19</v>
      </c>
      <c r="D38" s="136"/>
      <c r="E38" s="136"/>
      <c r="F38" s="136"/>
      <c r="G38" s="136"/>
      <c r="H38" s="136"/>
      <c r="I38" s="136"/>
      <c r="J38" s="136"/>
      <c r="K38" s="136"/>
      <c r="L38" s="136"/>
      <c r="M38" s="136"/>
      <c r="N38" s="136"/>
      <c r="O38" s="136"/>
      <c r="P38" s="136"/>
      <c r="Q38" s="136"/>
      <c r="R38" s="136"/>
      <c r="S38" s="136">
        <f t="shared" si="15"/>
        <v>0</v>
      </c>
      <c r="T38" s="136">
        <f t="shared" si="16"/>
        <v>0</v>
      </c>
      <c r="U38" s="136">
        <f t="shared" si="17"/>
        <v>0</v>
      </c>
      <c r="V38" s="136">
        <f t="shared" si="18"/>
        <v>0</v>
      </c>
      <c r="W38" s="136">
        <f t="shared" si="19"/>
        <v>0</v>
      </c>
      <c r="X38" s="136">
        <f t="shared" si="6"/>
        <v>0</v>
      </c>
      <c r="Y38" s="136">
        <f t="shared" si="7"/>
        <v>0</v>
      </c>
      <c r="Z38" s="251">
        <v>175</v>
      </c>
      <c r="AA38" s="136">
        <f>+Y38*Z38</f>
        <v>0</v>
      </c>
      <c r="AB38" s="147"/>
      <c r="AC38" s="147"/>
      <c r="AD38" s="147"/>
      <c r="AE38" s="147"/>
      <c r="AF38" s="147"/>
      <c r="AG38" s="147"/>
      <c r="AH38" s="147"/>
      <c r="AI38" s="126">
        <f t="shared" si="2"/>
        <v>0</v>
      </c>
      <c r="AJ38" s="126">
        <f t="shared" si="3"/>
        <v>0</v>
      </c>
      <c r="AK38" s="148">
        <f t="shared" si="4"/>
        <v>0</v>
      </c>
      <c r="AL38" s="27"/>
    </row>
    <row r="39" spans="1:38" ht="15.95">
      <c r="A39" s="86">
        <v>35</v>
      </c>
      <c r="B39" s="241" t="s">
        <v>54</v>
      </c>
      <c r="C39" s="82" t="s">
        <v>19</v>
      </c>
      <c r="D39" s="136"/>
      <c r="E39" s="136">
        <v>36.996000000000002</v>
      </c>
      <c r="F39" s="136">
        <v>25057.452399999998</v>
      </c>
      <c r="G39" s="136">
        <v>29516.05186</v>
      </c>
      <c r="H39" s="136">
        <v>724.73302000000001</v>
      </c>
      <c r="I39" s="136">
        <v>39.994</v>
      </c>
      <c r="J39" s="136">
        <v>914.38699999999994</v>
      </c>
      <c r="K39" s="136">
        <v>1635.645</v>
      </c>
      <c r="L39" s="136">
        <v>803.62800000000004</v>
      </c>
      <c r="M39" s="136">
        <v>651.98023000000001</v>
      </c>
      <c r="N39" s="136">
        <v>17380.08109</v>
      </c>
      <c r="O39" s="136">
        <v>15882.324360000001</v>
      </c>
      <c r="P39" s="136">
        <v>12212.10922</v>
      </c>
      <c r="Q39" s="136">
        <v>10861.3051</v>
      </c>
      <c r="R39" s="136">
        <v>13623.452079999999</v>
      </c>
      <c r="S39" s="136">
        <f t="shared" si="15"/>
        <v>17340.087090000001</v>
      </c>
      <c r="T39" s="136">
        <f t="shared" si="16"/>
        <v>15004.933360000001</v>
      </c>
      <c r="U39" s="136">
        <f t="shared" si="17"/>
        <v>35633.916619999996</v>
      </c>
      <c r="V39" s="136">
        <f t="shared" si="18"/>
        <v>39573.72896</v>
      </c>
      <c r="W39" s="136">
        <f t="shared" si="19"/>
        <v>13696.20487</v>
      </c>
      <c r="X39" s="136">
        <f t="shared" si="6"/>
        <v>24249.77418</v>
      </c>
      <c r="Y39" s="136">
        <f t="shared" si="7"/>
        <v>24249.77418</v>
      </c>
      <c r="Z39" s="253">
        <v>2866</v>
      </c>
      <c r="AA39" s="136">
        <f>+Y39*Z39</f>
        <v>69499852.799879998</v>
      </c>
      <c r="AB39" s="147">
        <f>N39/S39</f>
        <v>1.0023064474700973</v>
      </c>
      <c r="AC39" s="147">
        <f>O39/T39</f>
        <v>1.0584735019442966</v>
      </c>
      <c r="AD39" s="147">
        <f>P39/U39</f>
        <v>0.34271027095421208</v>
      </c>
      <c r="AE39" s="147">
        <f>Q39/V39</f>
        <v>0.27445745916383818</v>
      </c>
      <c r="AF39" s="147">
        <f>R39/W39</f>
        <v>0.99468810588841605</v>
      </c>
      <c r="AG39" s="147">
        <f>+SUM(AB39:AF39)/COUNT(AB39:AF39)</f>
        <v>0.73452715708417204</v>
      </c>
      <c r="AH39" s="147">
        <f>+IF(AG39&gt;0,AG39,AG39*-1)</f>
        <v>0.73452715708417204</v>
      </c>
      <c r="AI39" s="126">
        <f t="shared" si="2"/>
        <v>80</v>
      </c>
      <c r="AJ39" s="126">
        <f t="shared" si="3"/>
        <v>40</v>
      </c>
      <c r="AK39" s="148">
        <f t="shared" si="4"/>
        <v>60</v>
      </c>
      <c r="AL39" s="27"/>
    </row>
    <row r="42" spans="1:38" ht="14.45" customHeight="1">
      <c r="B42" s="270" t="s">
        <v>55</v>
      </c>
      <c r="C42" s="270"/>
      <c r="D42" s="270"/>
      <c r="E42" s="27"/>
      <c r="F42" s="27"/>
      <c r="G42" s="27"/>
      <c r="H42" s="270" t="s">
        <v>56</v>
      </c>
      <c r="I42" s="270"/>
      <c r="J42" s="270"/>
      <c r="K42" s="270"/>
    </row>
    <row r="43" spans="1:38">
      <c r="B43" s="27"/>
      <c r="C43" s="27"/>
      <c r="D43" s="27"/>
      <c r="E43" s="27"/>
      <c r="F43" s="27"/>
      <c r="G43" s="27"/>
      <c r="H43" s="27"/>
      <c r="I43" s="27"/>
      <c r="J43" s="27"/>
      <c r="K43" s="27"/>
    </row>
    <row r="44" spans="1:38">
      <c r="B44" s="108" t="s">
        <v>57</v>
      </c>
      <c r="C44" s="108" t="s">
        <v>58</v>
      </c>
      <c r="D44" s="27"/>
      <c r="E44" s="27"/>
      <c r="F44" s="27"/>
      <c r="G44" s="27"/>
      <c r="H44" s="36" t="s">
        <v>57</v>
      </c>
      <c r="I44" s="37" t="s">
        <v>58</v>
      </c>
      <c r="J44" s="27"/>
      <c r="K44" s="27"/>
    </row>
    <row r="45" spans="1:38">
      <c r="B45" s="38" t="s">
        <v>59</v>
      </c>
      <c r="C45" s="39">
        <f>+_xlfn.PERCENTILE.INC($B$60:$B$90,0.2)</f>
        <v>692331</v>
      </c>
      <c r="D45" s="27"/>
      <c r="E45" s="27"/>
      <c r="F45" s="27"/>
      <c r="G45" s="27"/>
      <c r="H45" s="38" t="s">
        <v>59</v>
      </c>
      <c r="I45" s="59">
        <f>+_xlfn.PERCENTILE.INC($H$60:$H$89,0.2)</f>
        <v>2.0326994400000006E-2</v>
      </c>
      <c r="J45" s="27"/>
      <c r="K45" s="27"/>
    </row>
    <row r="46" spans="1:38">
      <c r="B46" s="38" t="s">
        <v>60</v>
      </c>
      <c r="C46" s="39">
        <f>+_xlfn.PERCENTILE.INC($B$60:$B$90,0.4)</f>
        <v>13957314</v>
      </c>
      <c r="D46" s="27"/>
      <c r="E46" s="27"/>
      <c r="F46" s="27"/>
      <c r="G46" s="27"/>
      <c r="H46" s="38" t="s">
        <v>60</v>
      </c>
      <c r="I46" s="59">
        <f>+_xlfn.PERCENTILE.INC($H$60:$H$89,0.4)</f>
        <v>0.26867887120000022</v>
      </c>
      <c r="J46" s="27"/>
      <c r="K46" s="27"/>
    </row>
    <row r="47" spans="1:38">
      <c r="B47" s="38" t="s">
        <v>61</v>
      </c>
      <c r="C47" s="39">
        <f>+_xlfn.PERCENTILE.INC($B$60:$B$90,0.6)</f>
        <v>50495955</v>
      </c>
      <c r="D47" s="27"/>
      <c r="E47" s="27"/>
      <c r="F47" s="27"/>
      <c r="G47" s="27"/>
      <c r="H47" s="38" t="s">
        <v>61</v>
      </c>
      <c r="I47" s="59">
        <f>+_xlfn.PERCENTILE.INC($H$60:$H$89,0.6)</f>
        <v>0.65135486539999987</v>
      </c>
      <c r="J47" s="27"/>
      <c r="K47" s="27"/>
    </row>
    <row r="48" spans="1:38">
      <c r="B48" s="38" t="s">
        <v>62</v>
      </c>
      <c r="C48" s="39">
        <f>+_xlfn.PERCENTILE.INC($B$60:$B$90,0.8)</f>
        <v>149306067</v>
      </c>
      <c r="D48" s="27"/>
      <c r="E48" s="27"/>
      <c r="F48" s="27"/>
      <c r="G48" s="27"/>
      <c r="H48" s="38" t="s">
        <v>62</v>
      </c>
      <c r="I48" s="59">
        <f>+_xlfn.PERCENTILE.INC($H$60:$H$89,0.8)</f>
        <v>0.9762574544</v>
      </c>
      <c r="J48" s="27"/>
      <c r="K48" s="27"/>
    </row>
    <row r="49" spans="2:11">
      <c r="B49" s="27"/>
      <c r="C49" s="27"/>
      <c r="D49" s="27"/>
      <c r="E49" s="27"/>
      <c r="F49" s="27"/>
      <c r="G49" s="27"/>
      <c r="H49" s="27"/>
      <c r="I49" s="27"/>
      <c r="J49" s="27"/>
      <c r="K49" s="27"/>
    </row>
    <row r="50" spans="2:11">
      <c r="B50" s="108" t="s">
        <v>63</v>
      </c>
      <c r="C50" s="108" t="s">
        <v>64</v>
      </c>
      <c r="D50" s="108" t="s">
        <v>10</v>
      </c>
      <c r="E50" s="27"/>
      <c r="F50" s="27"/>
      <c r="G50" s="27"/>
      <c r="H50" s="36" t="s">
        <v>63</v>
      </c>
      <c r="I50" s="37" t="s">
        <v>64</v>
      </c>
      <c r="J50" s="37" t="s">
        <v>10</v>
      </c>
      <c r="K50" s="27"/>
    </row>
    <row r="51" spans="2:11">
      <c r="B51" s="38" t="s">
        <v>65</v>
      </c>
      <c r="C51" s="40" t="s">
        <v>66</v>
      </c>
      <c r="D51" s="40">
        <v>20</v>
      </c>
      <c r="E51" s="27"/>
      <c r="F51" s="27"/>
      <c r="G51" s="27"/>
      <c r="H51" s="38" t="s">
        <v>65</v>
      </c>
      <c r="I51" s="40" t="s">
        <v>67</v>
      </c>
      <c r="J51" s="40">
        <v>100</v>
      </c>
      <c r="K51" s="27"/>
    </row>
    <row r="52" spans="2:11" ht="29.1">
      <c r="B52" s="38" t="s">
        <v>68</v>
      </c>
      <c r="C52" s="40" t="s">
        <v>69</v>
      </c>
      <c r="D52" s="40">
        <v>40</v>
      </c>
      <c r="E52" s="27"/>
      <c r="F52" s="27"/>
      <c r="G52" s="27"/>
      <c r="H52" s="38" t="s">
        <v>68</v>
      </c>
      <c r="I52" s="40" t="s">
        <v>70</v>
      </c>
      <c r="J52" s="40">
        <v>80</v>
      </c>
      <c r="K52" s="27"/>
    </row>
    <row r="53" spans="2:11" ht="43.5">
      <c r="B53" s="38" t="s">
        <v>71</v>
      </c>
      <c r="C53" s="40" t="s">
        <v>72</v>
      </c>
      <c r="D53" s="40">
        <v>60</v>
      </c>
      <c r="E53" s="27"/>
      <c r="F53" s="27"/>
      <c r="G53" s="27"/>
      <c r="H53" s="38" t="s">
        <v>71</v>
      </c>
      <c r="I53" s="40" t="s">
        <v>73</v>
      </c>
      <c r="J53" s="40">
        <v>60</v>
      </c>
      <c r="K53" s="27"/>
    </row>
    <row r="54" spans="2:11" ht="43.5">
      <c r="B54" s="38" t="s">
        <v>74</v>
      </c>
      <c r="C54" s="40" t="s">
        <v>75</v>
      </c>
      <c r="D54" s="40">
        <v>80</v>
      </c>
      <c r="E54" s="27"/>
      <c r="F54" s="27"/>
      <c r="G54" s="27"/>
      <c r="H54" s="38" t="s">
        <v>74</v>
      </c>
      <c r="I54" s="40" t="s">
        <v>76</v>
      </c>
      <c r="J54" s="40">
        <v>40</v>
      </c>
      <c r="K54" s="27"/>
    </row>
    <row r="55" spans="2:11">
      <c r="B55" s="38" t="s">
        <v>77</v>
      </c>
      <c r="C55" s="40" t="s">
        <v>78</v>
      </c>
      <c r="D55" s="40">
        <v>100</v>
      </c>
      <c r="E55" s="27"/>
      <c r="F55" s="27"/>
      <c r="G55" s="27"/>
      <c r="H55" s="38" t="s">
        <v>77</v>
      </c>
      <c r="I55" s="40" t="s">
        <v>79</v>
      </c>
      <c r="J55" s="40">
        <v>20</v>
      </c>
      <c r="K55" s="27"/>
    </row>
    <row r="56" spans="2:11">
      <c r="B56" s="38">
        <v>0</v>
      </c>
      <c r="C56" s="41" t="s">
        <v>80</v>
      </c>
      <c r="D56" s="40">
        <v>0</v>
      </c>
      <c r="E56" s="27"/>
      <c r="F56" s="27"/>
      <c r="G56" s="27"/>
      <c r="H56" s="38">
        <v>0</v>
      </c>
      <c r="I56" s="41" t="s">
        <v>80</v>
      </c>
      <c r="J56" s="40">
        <v>0</v>
      </c>
      <c r="K56" s="27"/>
    </row>
    <row r="57" spans="2:11">
      <c r="B57" s="27"/>
      <c r="C57" s="27"/>
      <c r="D57" s="27"/>
      <c r="E57" s="27"/>
      <c r="F57" s="27"/>
      <c r="G57" s="27"/>
      <c r="H57" s="27"/>
      <c r="I57" s="27"/>
      <c r="J57" s="27"/>
      <c r="K57" s="27"/>
    </row>
    <row r="58" spans="2:11">
      <c r="B58" s="27"/>
      <c r="C58" s="27"/>
      <c r="D58" s="27"/>
      <c r="E58" s="27"/>
      <c r="F58" s="27"/>
      <c r="G58" s="27"/>
      <c r="H58" s="27"/>
      <c r="I58" s="27"/>
      <c r="J58" s="27"/>
      <c r="K58" s="27"/>
    </row>
    <row r="59" spans="2:11" ht="16.5">
      <c r="B59" s="109" t="s">
        <v>16</v>
      </c>
      <c r="C59" s="42" t="s">
        <v>80</v>
      </c>
      <c r="D59" s="42" t="s">
        <v>80</v>
      </c>
      <c r="E59" s="27"/>
      <c r="F59" s="27"/>
      <c r="G59" s="27"/>
      <c r="H59" s="109" t="s">
        <v>17</v>
      </c>
      <c r="I59" s="27"/>
      <c r="J59" s="27"/>
      <c r="K59" s="27"/>
    </row>
    <row r="60" spans="2:11" ht="16.5">
      <c r="B60" s="81">
        <v>179</v>
      </c>
      <c r="C60" s="43" t="s">
        <v>80</v>
      </c>
      <c r="D60" s="43" t="s">
        <v>80</v>
      </c>
      <c r="E60" s="27"/>
      <c r="F60" s="27"/>
      <c r="G60" s="27"/>
      <c r="H60" s="106">
        <v>1.86597E-5</v>
      </c>
      <c r="I60" s="27"/>
      <c r="J60" s="27"/>
      <c r="K60" s="27"/>
    </row>
    <row r="61" spans="2:11" ht="16.5">
      <c r="B61" s="87">
        <v>72138</v>
      </c>
      <c r="C61" s="43" t="s">
        <v>80</v>
      </c>
      <c r="D61" s="43" t="s">
        <v>80</v>
      </c>
      <c r="E61" s="27"/>
      <c r="F61" s="27"/>
      <c r="G61" s="27"/>
      <c r="H61" s="106">
        <v>6.9995799999999998E-5</v>
      </c>
      <c r="I61" s="27"/>
      <c r="J61" s="27"/>
      <c r="K61" s="27"/>
    </row>
    <row r="62" spans="2:11" ht="16.5">
      <c r="B62" s="87">
        <v>74111</v>
      </c>
      <c r="C62" s="43" t="s">
        <v>80</v>
      </c>
      <c r="D62" s="43" t="s">
        <v>80</v>
      </c>
      <c r="E62" s="27"/>
      <c r="F62" s="27"/>
      <c r="G62" s="27"/>
      <c r="H62" s="81">
        <v>3.866394E-3</v>
      </c>
      <c r="I62" s="27"/>
      <c r="J62" s="27"/>
      <c r="K62" s="27"/>
    </row>
    <row r="63" spans="2:11" ht="16.5">
      <c r="B63" s="87">
        <v>96038</v>
      </c>
      <c r="C63" s="43" t="s">
        <v>80</v>
      </c>
      <c r="D63" s="43" t="s">
        <v>80</v>
      </c>
      <c r="E63" s="27"/>
      <c r="F63" s="27"/>
      <c r="G63" s="27"/>
      <c r="H63" s="81">
        <v>3.9389350000000002E-3</v>
      </c>
      <c r="I63" s="27"/>
      <c r="J63" s="27"/>
      <c r="K63" s="27"/>
    </row>
    <row r="64" spans="2:11" ht="16.5">
      <c r="B64" s="87">
        <v>182941</v>
      </c>
      <c r="C64" s="43" t="s">
        <v>80</v>
      </c>
      <c r="D64" s="43" t="s">
        <v>80</v>
      </c>
      <c r="E64" s="27"/>
      <c r="F64" s="27"/>
      <c r="G64" s="27"/>
      <c r="H64" s="81">
        <v>5.1039220000000003E-3</v>
      </c>
      <c r="I64" s="27"/>
      <c r="J64" s="27"/>
      <c r="K64" s="27"/>
    </row>
    <row r="65" spans="2:11" ht="16.5">
      <c r="B65" s="87">
        <v>461333</v>
      </c>
      <c r="C65" s="43" t="s">
        <v>80</v>
      </c>
      <c r="D65" s="43" t="s">
        <v>80</v>
      </c>
      <c r="E65" s="27"/>
      <c r="F65" s="27"/>
      <c r="G65" s="27"/>
      <c r="H65" s="81">
        <v>1.4855212E-2</v>
      </c>
      <c r="I65" s="27"/>
      <c r="J65" s="27"/>
      <c r="K65" s="27"/>
    </row>
    <row r="66" spans="2:11" ht="16.5">
      <c r="B66" s="87">
        <v>692331</v>
      </c>
      <c r="C66" s="43" t="s">
        <v>80</v>
      </c>
      <c r="D66" s="43" t="s">
        <v>80</v>
      </c>
      <c r="E66" s="27"/>
      <c r="F66" s="27"/>
      <c r="G66" s="27"/>
      <c r="H66" s="81">
        <v>2.1694939999999999E-2</v>
      </c>
      <c r="I66" s="27"/>
      <c r="J66" s="27"/>
      <c r="K66" s="27"/>
    </row>
    <row r="67" spans="2:11" ht="16.5">
      <c r="B67" s="105">
        <v>841383.59720000008</v>
      </c>
      <c r="C67" s="43" t="s">
        <v>80</v>
      </c>
      <c r="D67" s="43" t="s">
        <v>80</v>
      </c>
      <c r="E67" s="27"/>
      <c r="F67" s="27"/>
      <c r="G67" s="27"/>
      <c r="H67" s="81">
        <v>3.5551422999999999E-2</v>
      </c>
      <c r="I67" s="27"/>
      <c r="J67" s="27"/>
      <c r="K67" s="27"/>
    </row>
    <row r="68" spans="2:11" ht="16.5">
      <c r="B68" s="87">
        <v>1165348</v>
      </c>
      <c r="C68" s="43" t="s">
        <v>80</v>
      </c>
      <c r="D68" s="43" t="s">
        <v>80</v>
      </c>
      <c r="E68" s="27"/>
      <c r="F68" s="27"/>
      <c r="G68" s="27"/>
      <c r="H68" s="81">
        <v>3.7413201E-2</v>
      </c>
      <c r="I68" s="27"/>
      <c r="J68" s="27"/>
      <c r="K68" s="27"/>
    </row>
    <row r="69" spans="2:11" ht="16.5">
      <c r="B69" s="87">
        <v>1178928</v>
      </c>
      <c r="C69" s="43" t="s">
        <v>80</v>
      </c>
      <c r="D69" s="43" t="s">
        <v>80</v>
      </c>
      <c r="E69" s="27"/>
      <c r="F69" s="27"/>
      <c r="G69" s="27"/>
      <c r="H69" s="81">
        <v>0.113083087</v>
      </c>
      <c r="I69" s="27"/>
      <c r="J69" s="27"/>
      <c r="K69" s="27"/>
    </row>
    <row r="70" spans="2:11" ht="16.5">
      <c r="B70" s="87">
        <v>2943431</v>
      </c>
      <c r="C70" s="43" t="s">
        <v>80</v>
      </c>
      <c r="D70" s="43" t="s">
        <v>80</v>
      </c>
      <c r="E70" s="27"/>
      <c r="F70" s="27"/>
      <c r="G70" s="27"/>
      <c r="H70" s="81">
        <v>0.122067167</v>
      </c>
      <c r="I70" s="27"/>
      <c r="J70" s="27"/>
      <c r="K70" s="27"/>
    </row>
    <row r="71" spans="2:11" ht="16.5">
      <c r="B71" s="87">
        <v>6572461</v>
      </c>
      <c r="C71" s="43" t="s">
        <v>80</v>
      </c>
      <c r="D71" s="43" t="s">
        <v>80</v>
      </c>
      <c r="E71" s="27"/>
      <c r="F71" s="27"/>
      <c r="G71" s="27"/>
      <c r="H71" s="81">
        <v>0.169733632</v>
      </c>
      <c r="I71" s="27"/>
      <c r="J71" s="27"/>
      <c r="K71" s="27"/>
    </row>
    <row r="72" spans="2:11" ht="16.5">
      <c r="B72" s="87">
        <v>13957314</v>
      </c>
      <c r="C72" s="43" t="s">
        <v>80</v>
      </c>
      <c r="D72" s="43" t="s">
        <v>80</v>
      </c>
      <c r="E72" s="27"/>
      <c r="F72" s="27"/>
      <c r="G72" s="27"/>
      <c r="H72" s="81">
        <v>0.33464236400000003</v>
      </c>
      <c r="I72" s="27"/>
      <c r="J72" s="27"/>
      <c r="K72" s="27"/>
    </row>
    <row r="73" spans="2:11" ht="16.5">
      <c r="B73" s="87">
        <v>14362989</v>
      </c>
      <c r="C73" s="43" t="s">
        <v>80</v>
      </c>
      <c r="D73" s="43" t="s">
        <v>80</v>
      </c>
      <c r="E73" s="27"/>
      <c r="F73" s="27"/>
      <c r="G73" s="27"/>
      <c r="H73" s="81">
        <v>0.40032706899999998</v>
      </c>
      <c r="I73" s="27"/>
      <c r="J73" s="27"/>
      <c r="K73" s="27"/>
    </row>
    <row r="74" spans="2:11" ht="16.5">
      <c r="B74" s="87">
        <v>16053413</v>
      </c>
      <c r="C74" s="43" t="s">
        <v>80</v>
      </c>
      <c r="D74" s="43" t="s">
        <v>80</v>
      </c>
      <c r="E74" s="27"/>
      <c r="F74" s="27"/>
      <c r="G74" s="27"/>
      <c r="H74" s="81">
        <v>0.43720042999999997</v>
      </c>
      <c r="I74" s="27"/>
      <c r="J74" s="27"/>
      <c r="K74" s="27"/>
    </row>
    <row r="75" spans="2:11" ht="16.5">
      <c r="B75" s="87">
        <v>17344234</v>
      </c>
      <c r="C75" s="43" t="s">
        <v>80</v>
      </c>
      <c r="D75" s="43" t="s">
        <v>80</v>
      </c>
      <c r="E75" s="27"/>
      <c r="F75" s="27"/>
      <c r="G75" s="27"/>
      <c r="H75" s="81">
        <v>0.45728276899999998</v>
      </c>
      <c r="I75" s="27"/>
      <c r="J75" s="27"/>
      <c r="K75" s="27"/>
    </row>
    <row r="76" spans="2:11" ht="16.5">
      <c r="B76" s="87">
        <v>17410424</v>
      </c>
      <c r="C76" s="43" t="s">
        <v>80</v>
      </c>
      <c r="D76" s="43" t="s">
        <v>80</v>
      </c>
      <c r="E76" s="27"/>
      <c r="F76" s="27"/>
      <c r="G76" s="27"/>
      <c r="H76" s="81">
        <v>0.55642466099999999</v>
      </c>
      <c r="I76" s="27"/>
      <c r="J76" s="27"/>
      <c r="K76" s="27"/>
    </row>
    <row r="77" spans="2:11" ht="16.5">
      <c r="B77" s="87">
        <v>36012234</v>
      </c>
      <c r="C77" s="43" t="s">
        <v>80</v>
      </c>
      <c r="D77" s="43" t="s">
        <v>80</v>
      </c>
      <c r="E77" s="27"/>
      <c r="F77" s="27"/>
      <c r="G77" s="27"/>
      <c r="H77" s="81">
        <v>0.59590667100000005</v>
      </c>
      <c r="I77" s="27"/>
      <c r="J77" s="27"/>
      <c r="K77" s="27"/>
    </row>
    <row r="78" spans="2:11" ht="16.5">
      <c r="B78" s="87">
        <v>50495955</v>
      </c>
      <c r="C78" s="43" t="s">
        <v>80</v>
      </c>
      <c r="D78" s="43" t="s">
        <v>80</v>
      </c>
      <c r="E78" s="27"/>
      <c r="F78" s="27"/>
      <c r="G78" s="27"/>
      <c r="H78" s="81">
        <v>0.73452715700000004</v>
      </c>
      <c r="I78" s="27"/>
      <c r="J78" s="27"/>
      <c r="K78" s="27"/>
    </row>
    <row r="79" spans="2:11" ht="16.5">
      <c r="B79" s="87">
        <v>58985781.489236012</v>
      </c>
      <c r="C79" s="43" t="s">
        <v>80</v>
      </c>
      <c r="D79" s="43" t="s">
        <v>80</v>
      </c>
      <c r="E79" s="27"/>
      <c r="F79" s="27"/>
      <c r="G79" s="27"/>
      <c r="H79" s="81">
        <v>0.781063175</v>
      </c>
      <c r="I79" s="27"/>
      <c r="J79" s="27"/>
      <c r="K79" s="27"/>
    </row>
    <row r="80" spans="2:11" ht="16.5">
      <c r="B80" s="87">
        <v>62580544</v>
      </c>
      <c r="C80" s="43" t="s">
        <v>80</v>
      </c>
      <c r="D80" s="43" t="s">
        <v>80</v>
      </c>
      <c r="E80" s="27"/>
      <c r="F80" s="27"/>
      <c r="G80" s="27"/>
      <c r="H80" s="81">
        <v>0.78202635899999995</v>
      </c>
      <c r="I80" s="27"/>
      <c r="J80" s="27"/>
      <c r="K80" s="27"/>
    </row>
    <row r="81" spans="2:11" ht="16.5">
      <c r="B81" s="87">
        <v>62932200</v>
      </c>
      <c r="C81" s="43" t="s">
        <v>80</v>
      </c>
      <c r="D81" s="43" t="s">
        <v>80</v>
      </c>
      <c r="E81" s="27"/>
      <c r="F81" s="27"/>
      <c r="G81" s="27"/>
      <c r="H81" s="81">
        <v>0.78236029799999995</v>
      </c>
      <c r="I81" s="27"/>
      <c r="J81" s="27"/>
      <c r="K81" s="27"/>
    </row>
    <row r="82" spans="2:11" ht="16.5">
      <c r="B82" s="87">
        <v>69501550</v>
      </c>
      <c r="C82" s="43" t="s">
        <v>80</v>
      </c>
      <c r="D82" s="43" t="s">
        <v>80</v>
      </c>
      <c r="E82" s="27"/>
      <c r="F82" s="27"/>
      <c r="G82" s="27"/>
      <c r="H82" s="81">
        <v>0.81423808600000003</v>
      </c>
      <c r="I82" s="27"/>
      <c r="J82" s="27"/>
      <c r="K82" s="27"/>
    </row>
    <row r="83" spans="2:11" ht="16.5">
      <c r="B83" s="87">
        <v>136456145</v>
      </c>
      <c r="C83" s="43" t="s">
        <v>80</v>
      </c>
      <c r="D83" s="43" t="s">
        <v>80</v>
      </c>
      <c r="E83" s="27"/>
      <c r="F83" s="27"/>
      <c r="G83" s="27"/>
      <c r="H83" s="81">
        <v>0.97032181799999995</v>
      </c>
      <c r="I83" s="27"/>
      <c r="J83" s="27"/>
      <c r="K83" s="27"/>
    </row>
    <row r="84" spans="2:11" ht="16.5">
      <c r="B84" s="87">
        <v>149306067</v>
      </c>
      <c r="C84" s="43" t="s">
        <v>80</v>
      </c>
      <c r="D84" s="43" t="s">
        <v>80</v>
      </c>
      <c r="E84" s="27"/>
      <c r="F84" s="27"/>
      <c r="G84" s="27"/>
      <c r="H84" s="81">
        <v>1</v>
      </c>
      <c r="I84" s="27"/>
      <c r="J84" s="27"/>
      <c r="K84" s="27"/>
    </row>
    <row r="85" spans="2:11" ht="16.5">
      <c r="B85" s="87">
        <v>187870708</v>
      </c>
      <c r="C85" s="43" t="s">
        <v>80</v>
      </c>
      <c r="D85" s="43" t="s">
        <v>80</v>
      </c>
      <c r="E85" s="27"/>
      <c r="F85" s="27"/>
      <c r="G85" s="27"/>
      <c r="H85" s="48">
        <v>1</v>
      </c>
      <c r="I85" s="27"/>
      <c r="J85" s="27"/>
      <c r="K85" s="27"/>
    </row>
    <row r="86" spans="2:11" ht="16.5">
      <c r="B86" s="87">
        <v>764894949</v>
      </c>
      <c r="C86" s="43" t="s">
        <v>80</v>
      </c>
      <c r="D86" s="43" t="s">
        <v>80</v>
      </c>
      <c r="E86" s="27"/>
      <c r="F86" s="27"/>
      <c r="G86" s="27"/>
      <c r="H86" s="81">
        <v>1.012377815</v>
      </c>
      <c r="I86" s="27"/>
      <c r="J86" s="27"/>
      <c r="K86" s="27"/>
    </row>
    <row r="87" spans="2:11" ht="16.5">
      <c r="B87" s="87">
        <v>787472089</v>
      </c>
      <c r="C87" s="43" t="s">
        <v>80</v>
      </c>
      <c r="D87" s="43" t="s">
        <v>80</v>
      </c>
      <c r="E87" s="27"/>
      <c r="F87" s="27"/>
      <c r="G87" s="27"/>
      <c r="H87" s="81">
        <v>1.014163189</v>
      </c>
      <c r="I87" s="27"/>
      <c r="J87" s="27"/>
      <c r="K87" s="27"/>
    </row>
    <row r="88" spans="2:11" ht="16.5">
      <c r="B88" s="87">
        <v>799186723</v>
      </c>
      <c r="C88" s="43" t="s">
        <v>80</v>
      </c>
      <c r="D88" s="43" t="s">
        <v>80</v>
      </c>
      <c r="E88" s="27"/>
      <c r="F88" s="27"/>
      <c r="G88" s="27"/>
      <c r="H88" s="81">
        <v>1.0167165739999999</v>
      </c>
      <c r="I88" s="27"/>
      <c r="J88" s="27"/>
      <c r="K88" s="27"/>
    </row>
    <row r="89" spans="2:11">
      <c r="B89" s="87">
        <v>799810490</v>
      </c>
      <c r="C89" s="27"/>
      <c r="D89" s="27"/>
      <c r="E89" s="27"/>
      <c r="F89" s="27"/>
      <c r="G89" s="27"/>
      <c r="H89" s="81">
        <v>1.2162562189999999</v>
      </c>
      <c r="I89" s="27"/>
      <c r="J89" s="27"/>
      <c r="K89" s="27"/>
    </row>
    <row r="90" spans="2:11">
      <c r="B90" s="87">
        <v>1212436274</v>
      </c>
    </row>
  </sheetData>
  <autoFilter ref="AK2:AK39" xr:uid="{A9469E69-678A-4286-BB43-04B0170918D0}"/>
  <sortState xmlns:xlrd2="http://schemas.microsoft.com/office/spreadsheetml/2017/richdata2" ref="B60:B90">
    <sortCondition ref="B60:B90"/>
  </sortState>
  <mergeCells count="13">
    <mergeCell ref="A1:AK1"/>
    <mergeCell ref="B42:D42"/>
    <mergeCell ref="H42:K42"/>
    <mergeCell ref="AJ2:AJ3"/>
    <mergeCell ref="AK2:AK4"/>
    <mergeCell ref="A2:B3"/>
    <mergeCell ref="C2:C4"/>
    <mergeCell ref="D2:H3"/>
    <mergeCell ref="I2:M3"/>
    <mergeCell ref="N2:R3"/>
    <mergeCell ref="S2:AA3"/>
    <mergeCell ref="AB2:AH3"/>
    <mergeCell ref="AI2:AI3"/>
  </mergeCells>
  <pageMargins left="0.7" right="0.7" top="0.75" bottom="0.75" header="0.3" footer="0.3"/>
  <pageSetup paperSize="9" orientation="portrait" r:id="rId1"/>
  <headerFooter>
    <oddFooter>&amp;L_x000D_&amp;1#&amp;"Aptos"&amp;10&amp;K000000 Informacion publica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73914-9AD6-4983-8AB2-0F089D4C6CF6}">
  <dimension ref="A1:AK92"/>
  <sheetViews>
    <sheetView zoomScale="85" zoomScaleNormal="85" workbookViewId="0">
      <selection activeCell="A19" sqref="A19"/>
    </sheetView>
  </sheetViews>
  <sheetFormatPr defaultColWidth="8.7109375" defaultRowHeight="15" customHeight="1"/>
  <cols>
    <col min="1" max="1" width="5" style="114" customWidth="1"/>
    <col min="2" max="2" width="26.42578125" style="114" bestFit="1" customWidth="1"/>
    <col min="3" max="3" width="15.140625" style="114" customWidth="1"/>
    <col min="4" max="6" width="18.42578125" customWidth="1"/>
    <col min="7" max="7" width="21.7109375" customWidth="1"/>
    <col min="8" max="8" width="18.42578125" customWidth="1"/>
    <col min="9" max="9" width="8.42578125" customWidth="1"/>
    <col min="10" max="10" width="16" customWidth="1"/>
    <col min="11" max="11" width="14.42578125" customWidth="1"/>
    <col min="12" max="12" width="10" customWidth="1"/>
    <col min="13" max="13" width="9.7109375" customWidth="1"/>
    <col min="14" max="14" width="12.140625" customWidth="1"/>
    <col min="15" max="15" width="14.42578125" customWidth="1"/>
    <col min="16" max="19" width="15.42578125" customWidth="1"/>
    <col min="20" max="20" width="8" customWidth="1"/>
    <col min="21" max="21" width="9.85546875" customWidth="1"/>
    <col min="22" max="22" width="8.42578125" customWidth="1"/>
    <col min="23" max="23" width="12.85546875" customWidth="1"/>
    <col min="24" max="24" width="8.42578125" customWidth="1"/>
    <col min="25" max="30" width="9.140625" bestFit="1" customWidth="1"/>
    <col min="31" max="31" width="9.85546875" customWidth="1"/>
    <col min="32" max="32" width="11.42578125" customWidth="1"/>
    <col min="33" max="33" width="13.140625" bestFit="1" customWidth="1"/>
    <col min="34" max="34" width="12.42578125" bestFit="1" customWidth="1"/>
    <col min="35" max="35" width="18.140625" style="22" customWidth="1"/>
    <col min="36" max="36" width="12.85546875" customWidth="1"/>
  </cols>
  <sheetData>
    <row r="1" spans="1:37" ht="27.75" customHeight="1">
      <c r="A1" s="279" t="s">
        <v>81</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row>
    <row r="2" spans="1:37" ht="21.75" customHeight="1">
      <c r="A2" s="277" t="s">
        <v>1</v>
      </c>
      <c r="B2" s="277"/>
      <c r="C2" s="277" t="s">
        <v>2</v>
      </c>
      <c r="D2" s="278" t="s">
        <v>82</v>
      </c>
      <c r="E2" s="278"/>
      <c r="F2" s="278"/>
      <c r="G2" s="278"/>
      <c r="H2" s="278"/>
      <c r="I2" s="278" t="s">
        <v>83</v>
      </c>
      <c r="J2" s="278"/>
      <c r="K2" s="278"/>
      <c r="L2" s="278"/>
      <c r="M2" s="278"/>
      <c r="N2" s="278"/>
      <c r="O2" s="278" t="s">
        <v>4</v>
      </c>
      <c r="P2" s="278"/>
      <c r="Q2" s="278"/>
      <c r="R2" s="278"/>
      <c r="S2" s="278"/>
      <c r="T2" s="278" t="s">
        <v>84</v>
      </c>
      <c r="U2" s="278"/>
      <c r="V2" s="278"/>
      <c r="W2" s="278"/>
      <c r="X2" s="278"/>
      <c r="Y2" s="278"/>
      <c r="Z2" s="278" t="s">
        <v>85</v>
      </c>
      <c r="AA2" s="278"/>
      <c r="AB2" s="278"/>
      <c r="AC2" s="278"/>
      <c r="AD2" s="278"/>
      <c r="AE2" s="278"/>
      <c r="AF2" s="278"/>
      <c r="AG2" s="280" t="s">
        <v>86</v>
      </c>
      <c r="AH2" s="280" t="s">
        <v>87</v>
      </c>
      <c r="AI2" s="281" t="s">
        <v>88</v>
      </c>
      <c r="AJ2" s="272" t="s">
        <v>10</v>
      </c>
      <c r="AK2" s="27"/>
    </row>
    <row r="3" spans="1:37" ht="21.75" customHeight="1">
      <c r="A3" s="277"/>
      <c r="B3" s="277"/>
      <c r="C3" s="277"/>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80"/>
      <c r="AH3" s="280"/>
      <c r="AI3" s="281"/>
      <c r="AJ3" s="272"/>
      <c r="AK3" s="27"/>
    </row>
    <row r="4" spans="1:37" ht="32.1">
      <c r="A4" s="142" t="s">
        <v>11</v>
      </c>
      <c r="B4" s="143" t="s">
        <v>12</v>
      </c>
      <c r="C4" s="277"/>
      <c r="D4" s="84">
        <v>2021</v>
      </c>
      <c r="E4" s="84">
        <v>2022</v>
      </c>
      <c r="F4" s="84">
        <v>2023</v>
      </c>
      <c r="G4" s="84">
        <v>2024</v>
      </c>
      <c r="H4" s="84">
        <v>2025</v>
      </c>
      <c r="I4" s="84">
        <v>2021</v>
      </c>
      <c r="J4" s="84">
        <v>2022</v>
      </c>
      <c r="K4" s="84">
        <v>2023</v>
      </c>
      <c r="L4" s="84">
        <v>2024</v>
      </c>
      <c r="M4" s="84">
        <v>2025</v>
      </c>
      <c r="N4" s="84" t="s">
        <v>13</v>
      </c>
      <c r="O4" s="84">
        <v>2021</v>
      </c>
      <c r="P4" s="84">
        <v>2022</v>
      </c>
      <c r="Q4" s="84">
        <v>2023</v>
      </c>
      <c r="R4" s="84">
        <v>2024</v>
      </c>
      <c r="S4" s="84">
        <v>2025</v>
      </c>
      <c r="T4" s="84">
        <v>2021</v>
      </c>
      <c r="U4" s="84">
        <v>2022</v>
      </c>
      <c r="V4" s="84">
        <v>2023</v>
      </c>
      <c r="W4" s="84">
        <v>2024</v>
      </c>
      <c r="X4" s="84">
        <v>2025</v>
      </c>
      <c r="Y4" s="84" t="s">
        <v>13</v>
      </c>
      <c r="Z4" s="84">
        <v>2021</v>
      </c>
      <c r="AA4" s="84">
        <v>2022</v>
      </c>
      <c r="AB4" s="84">
        <v>2023</v>
      </c>
      <c r="AC4" s="84">
        <v>2024</v>
      </c>
      <c r="AD4" s="84">
        <v>2025</v>
      </c>
      <c r="AE4" s="84" t="s">
        <v>13</v>
      </c>
      <c r="AF4" s="84" t="s">
        <v>89</v>
      </c>
      <c r="AG4" s="89">
        <v>0.4</v>
      </c>
      <c r="AH4" s="89">
        <v>0.4</v>
      </c>
      <c r="AI4" s="94">
        <v>0.2</v>
      </c>
      <c r="AJ4" s="272"/>
      <c r="AK4" s="27"/>
    </row>
    <row r="5" spans="1:37" ht="15.95">
      <c r="A5" s="86">
        <v>1</v>
      </c>
      <c r="B5" s="231" t="s">
        <v>18</v>
      </c>
      <c r="C5" s="137" t="s">
        <v>90</v>
      </c>
      <c r="D5" s="136">
        <v>38385888</v>
      </c>
      <c r="E5" s="136">
        <v>58404335</v>
      </c>
      <c r="F5" s="136">
        <v>3853673</v>
      </c>
      <c r="G5" s="136">
        <v>75505065.319999993</v>
      </c>
      <c r="H5" s="136">
        <v>43129492</v>
      </c>
      <c r="I5" s="134">
        <f t="shared" ref="I5:I39" si="0">+D5/$D$41</f>
        <v>1.4722476907501172E-5</v>
      </c>
      <c r="J5" s="134">
        <f t="shared" ref="J5:J39" si="1">+E5/$E$41</f>
        <v>7.186359087917262E-6</v>
      </c>
      <c r="K5" s="134">
        <f t="shared" ref="K5:K39" si="2">+F5/$F$41</f>
        <v>5.2859536069442621E-7</v>
      </c>
      <c r="L5" s="134">
        <f t="shared" ref="L5:L39" si="3">+G5/$G$41</f>
        <v>1.816797788260186E-5</v>
      </c>
      <c r="M5" s="134">
        <f t="shared" ref="M5:M39" si="4">+H5/$H$41</f>
        <v>1.3330957860864169E-5</v>
      </c>
      <c r="N5" s="135">
        <f t="shared" ref="N5:N39" si="5">+SUM(I5:M5)/COUNT(I5:M5)</f>
        <v>1.0787273419915778E-5</v>
      </c>
      <c r="O5" s="136">
        <v>2436322.15</v>
      </c>
      <c r="P5" s="136">
        <v>2418478.13</v>
      </c>
      <c r="Q5" s="136">
        <v>3468377.91</v>
      </c>
      <c r="R5" s="136">
        <v>2827697.13</v>
      </c>
      <c r="S5" s="136">
        <v>2356397.2599999998</v>
      </c>
      <c r="T5" s="150">
        <f t="shared" ref="T5:T39" si="6">+O5/$O$41</f>
        <v>2.5062135749615299E-4</v>
      </c>
      <c r="U5" s="135">
        <f t="shared" ref="U5:U39" si="7">+P5/$P$41</f>
        <v>1.4566964240833911E-4</v>
      </c>
      <c r="V5" s="135">
        <f t="shared" ref="V5:V39" si="8">+Q5/$Q$41</f>
        <v>2.4654594206291225E-4</v>
      </c>
      <c r="W5" s="135">
        <f t="shared" ref="W5:W39" si="9">+R5/$R$41</f>
        <v>2.2505794300345115E-4</v>
      </c>
      <c r="X5" s="135">
        <f t="shared" ref="X5:X39" si="10">+S5/$S$41</f>
        <v>2.0751040426828201E-4</v>
      </c>
      <c r="Y5" s="135">
        <f t="shared" ref="Y5:Y39" si="11">+SUM(T5:X5)/COUNT(T5:X5)</f>
        <v>2.1508105784782752E-4</v>
      </c>
      <c r="Z5" s="136">
        <v>2287</v>
      </c>
      <c r="AA5" s="136">
        <v>2080</v>
      </c>
      <c r="AB5" s="136">
        <v>2689</v>
      </c>
      <c r="AC5" s="136">
        <v>4426</v>
      </c>
      <c r="AD5" s="136">
        <v>2454</v>
      </c>
      <c r="AE5" s="136">
        <v>2787</v>
      </c>
      <c r="AF5" s="86" t="s">
        <v>91</v>
      </c>
      <c r="AG5" s="126">
        <f t="shared" ref="AG5:AG39" si="12">IF(N5=0,$D$57,IF(N5&lt;=$C$46,$D$52,IF(N5&lt;=$C$47,$D$53,IF(N5&lt;=$C$48,$D$54,IF(N5&lt;=$C$49,$D$55,$D$56)))))</f>
        <v>60</v>
      </c>
      <c r="AH5" s="126">
        <f>IF(Y5=0,$H$57,IF(Y5&lt;=$G$46,$H$52,IF(Y5&lt;=$G$47,$H$53,IF(Y5&lt;=$G$48,$H$54,IF(Y5&lt;=$G$49,$H$55,$H$56)))))</f>
        <v>80</v>
      </c>
      <c r="AI5" s="126">
        <f t="shared" ref="AI5:AI39" si="13">IF(AF5="Sin dato",$K$49,IF(AF5=$J$46,$K$46,IF(AF5=$J$47,$K$47,IF(AF5=$J$48,$K$48))))</f>
        <v>30</v>
      </c>
      <c r="AJ5" s="127">
        <f>+(AG5*$AG$4)+(AH5*$AH$4)+(AI5*$AI$4)</f>
        <v>62</v>
      </c>
      <c r="AK5" s="27"/>
    </row>
    <row r="6" spans="1:37" ht="15.95">
      <c r="A6" s="86">
        <v>2</v>
      </c>
      <c r="B6" s="231" t="s">
        <v>20</v>
      </c>
      <c r="C6" s="137" t="s">
        <v>90</v>
      </c>
      <c r="D6" s="136">
        <v>151898459</v>
      </c>
      <c r="E6" s="136">
        <v>174412059</v>
      </c>
      <c r="F6" s="136">
        <v>419912528</v>
      </c>
      <c r="G6" s="136">
        <v>235098242.68000001</v>
      </c>
      <c r="H6" s="136">
        <v>312071871.41000003</v>
      </c>
      <c r="I6" s="134">
        <f t="shared" si="0"/>
        <v>5.8258950656879772E-5</v>
      </c>
      <c r="J6" s="134">
        <f t="shared" si="1"/>
        <v>2.146052489489028E-5</v>
      </c>
      <c r="K6" s="134">
        <f t="shared" si="2"/>
        <v>5.7597988775453541E-5</v>
      </c>
      <c r="L6" s="134">
        <f t="shared" si="3"/>
        <v>5.6569180559564675E-5</v>
      </c>
      <c r="M6" s="134">
        <f t="shared" si="4"/>
        <v>9.6458751875114405E-5</v>
      </c>
      <c r="N6" s="135">
        <f t="shared" si="5"/>
        <v>5.8069079352380538E-5</v>
      </c>
      <c r="O6" s="136">
        <v>162232.09</v>
      </c>
      <c r="P6" s="136">
        <v>124385.02</v>
      </c>
      <c r="Q6" s="136">
        <v>250098.4</v>
      </c>
      <c r="R6" s="136">
        <v>172137.92</v>
      </c>
      <c r="S6" s="136">
        <v>316991.53999999998</v>
      </c>
      <c r="T6" s="150">
        <f t="shared" si="6"/>
        <v>1.6688608534482218E-5</v>
      </c>
      <c r="U6" s="135">
        <f t="shared" si="7"/>
        <v>7.4919517193873112E-6</v>
      </c>
      <c r="V6" s="135">
        <f t="shared" si="8"/>
        <v>1.7777977843373777E-5</v>
      </c>
      <c r="W6" s="135">
        <f t="shared" si="9"/>
        <v>1.3700550096782337E-5</v>
      </c>
      <c r="X6" s="135">
        <f t="shared" si="10"/>
        <v>2.7915090435568274E-5</v>
      </c>
      <c r="Y6" s="135">
        <f t="shared" si="11"/>
        <v>1.6714835725918783E-5</v>
      </c>
      <c r="Z6" s="136">
        <v>3350</v>
      </c>
      <c r="AA6" s="136">
        <v>7511</v>
      </c>
      <c r="AB6" s="136">
        <v>3204</v>
      </c>
      <c r="AC6" s="136">
        <v>5407</v>
      </c>
      <c r="AD6" s="136">
        <v>2149</v>
      </c>
      <c r="AE6" s="136">
        <v>4324</v>
      </c>
      <c r="AF6" s="86" t="s">
        <v>91</v>
      </c>
      <c r="AG6" s="126">
        <f t="shared" si="12"/>
        <v>60</v>
      </c>
      <c r="AH6" s="126">
        <f t="shared" ref="AH6:AH38" si="14">IF(Y6=0,$H$57,IF(Y6&lt;=$G$46,$H$52,IF(Y6&lt;=$G$47,$H$53,IF(Y6&lt;=$G$48,$H$54,IF(Y6&lt;=$G$49,$H$55,$H$56)))))</f>
        <v>60</v>
      </c>
      <c r="AI6" s="126">
        <f t="shared" si="13"/>
        <v>30</v>
      </c>
      <c r="AJ6" s="127">
        <f t="shared" ref="AJ6:AJ39" si="15">+(AG6*$AG$4)+(AH6*$AH$4)+(AI6*$AI$4)</f>
        <v>54</v>
      </c>
      <c r="AK6" s="27"/>
    </row>
    <row r="7" spans="1:37" ht="15.95">
      <c r="A7" s="86">
        <v>3</v>
      </c>
      <c r="B7" s="231" t="s">
        <v>21</v>
      </c>
      <c r="C7" s="137" t="s">
        <v>90</v>
      </c>
      <c r="D7" s="136"/>
      <c r="E7" s="136"/>
      <c r="F7" s="136"/>
      <c r="G7" s="136"/>
      <c r="H7" s="136"/>
      <c r="I7" s="134">
        <f t="shared" si="0"/>
        <v>0</v>
      </c>
      <c r="J7" s="134">
        <f t="shared" si="1"/>
        <v>0</v>
      </c>
      <c r="K7" s="134">
        <f t="shared" si="2"/>
        <v>0</v>
      </c>
      <c r="L7" s="134">
        <f t="shared" si="3"/>
        <v>0</v>
      </c>
      <c r="M7" s="134">
        <f t="shared" si="4"/>
        <v>0</v>
      </c>
      <c r="N7" s="135">
        <f t="shared" si="5"/>
        <v>0</v>
      </c>
      <c r="O7" s="136"/>
      <c r="P7" s="136"/>
      <c r="Q7" s="136"/>
      <c r="R7" s="136"/>
      <c r="S7" s="136"/>
      <c r="T7" s="150">
        <f t="shared" si="6"/>
        <v>0</v>
      </c>
      <c r="U7" s="135">
        <f t="shared" si="7"/>
        <v>0</v>
      </c>
      <c r="V7" s="135">
        <f t="shared" si="8"/>
        <v>0</v>
      </c>
      <c r="W7" s="135">
        <f t="shared" si="9"/>
        <v>0</v>
      </c>
      <c r="X7" s="135">
        <f t="shared" si="10"/>
        <v>0</v>
      </c>
      <c r="Y7" s="135">
        <f t="shared" si="11"/>
        <v>0</v>
      </c>
      <c r="Z7" s="136">
        <v>4392</v>
      </c>
      <c r="AA7" s="136">
        <v>3998</v>
      </c>
      <c r="AB7" s="136">
        <v>2750</v>
      </c>
      <c r="AC7" s="136">
        <v>3386</v>
      </c>
      <c r="AD7" s="136">
        <v>1910</v>
      </c>
      <c r="AE7" s="136">
        <v>3287</v>
      </c>
      <c r="AF7" s="86" t="s">
        <v>91</v>
      </c>
      <c r="AG7" s="126">
        <f t="shared" si="12"/>
        <v>0</v>
      </c>
      <c r="AH7" s="126">
        <f t="shared" si="14"/>
        <v>0</v>
      </c>
      <c r="AI7" s="126">
        <f t="shared" si="13"/>
        <v>30</v>
      </c>
      <c r="AJ7" s="127">
        <f t="shared" si="15"/>
        <v>6</v>
      </c>
      <c r="AK7" s="27"/>
    </row>
    <row r="8" spans="1:37" ht="15.95">
      <c r="A8" s="86">
        <v>4</v>
      </c>
      <c r="B8" s="231" t="s">
        <v>23</v>
      </c>
      <c r="C8" s="137" t="s">
        <v>90</v>
      </c>
      <c r="D8" s="136">
        <v>6812655</v>
      </c>
      <c r="E8" s="136">
        <v>7455727.7999999998</v>
      </c>
      <c r="F8" s="136">
        <v>11488622</v>
      </c>
      <c r="G8" s="136">
        <v>3715742</v>
      </c>
      <c r="H8" s="136"/>
      <c r="I8" s="134">
        <f t="shared" si="0"/>
        <v>2.6129174324760284E-6</v>
      </c>
      <c r="J8" s="134">
        <f t="shared" si="1"/>
        <v>9.1738973198765769E-7</v>
      </c>
      <c r="K8" s="134">
        <f t="shared" si="2"/>
        <v>1.5758556291548142E-6</v>
      </c>
      <c r="L8" s="134">
        <f t="shared" si="3"/>
        <v>8.9407933345066879E-7</v>
      </c>
      <c r="M8" s="134">
        <f t="shared" si="4"/>
        <v>0</v>
      </c>
      <c r="N8" s="135">
        <f t="shared" si="5"/>
        <v>1.2000484254138338E-6</v>
      </c>
      <c r="O8" s="136">
        <v>144091.84</v>
      </c>
      <c r="P8" s="136">
        <v>128164.43</v>
      </c>
      <c r="Q8" s="136">
        <v>10418.31</v>
      </c>
      <c r="R8" s="136">
        <v>65519.38</v>
      </c>
      <c r="S8" s="136">
        <v>95507.13</v>
      </c>
      <c r="T8" s="150">
        <f t="shared" si="6"/>
        <v>1.4822544114257829E-5</v>
      </c>
      <c r="U8" s="135">
        <f t="shared" si="7"/>
        <v>7.719592935731286E-6</v>
      </c>
      <c r="V8" s="135">
        <f t="shared" si="8"/>
        <v>7.4057444727914871E-7</v>
      </c>
      <c r="W8" s="135">
        <f t="shared" si="9"/>
        <v>5.2147228687329247E-6</v>
      </c>
      <c r="X8" s="135">
        <f t="shared" si="10"/>
        <v>8.4106035485728621E-6</v>
      </c>
      <c r="Y8" s="135">
        <f t="shared" si="11"/>
        <v>7.3816075829148112E-6</v>
      </c>
      <c r="Z8" s="136">
        <v>10000</v>
      </c>
      <c r="AA8" s="136">
        <v>9049</v>
      </c>
      <c r="AB8" s="136">
        <v>9211</v>
      </c>
      <c r="AC8" s="136">
        <v>7248</v>
      </c>
      <c r="AD8" s="136">
        <v>9996</v>
      </c>
      <c r="AE8" s="136">
        <v>9101</v>
      </c>
      <c r="AF8" s="86" t="s">
        <v>91</v>
      </c>
      <c r="AG8" s="126">
        <f t="shared" si="12"/>
        <v>40</v>
      </c>
      <c r="AH8" s="126">
        <f t="shared" si="14"/>
        <v>60</v>
      </c>
      <c r="AI8" s="126">
        <f t="shared" si="13"/>
        <v>30</v>
      </c>
      <c r="AJ8" s="127">
        <f t="shared" si="15"/>
        <v>46</v>
      </c>
      <c r="AK8" s="27"/>
    </row>
    <row r="9" spans="1:37" ht="15.95">
      <c r="A9" s="86">
        <v>5</v>
      </c>
      <c r="B9" s="231" t="s">
        <v>24</v>
      </c>
      <c r="C9" s="137" t="s">
        <v>90</v>
      </c>
      <c r="D9" s="136">
        <v>2092275491.21</v>
      </c>
      <c r="E9" s="136">
        <v>2753800176.6500001</v>
      </c>
      <c r="F9" s="136">
        <v>2798435391</v>
      </c>
      <c r="G9" s="136">
        <v>2093199398</v>
      </c>
      <c r="H9" s="136">
        <v>2403987470</v>
      </c>
      <c r="I9" s="134">
        <f t="shared" si="0"/>
        <v>8.0246880320887449E-4</v>
      </c>
      <c r="J9" s="134">
        <f t="shared" si="1"/>
        <v>3.388412337162454E-4</v>
      </c>
      <c r="K9" s="134">
        <f t="shared" si="2"/>
        <v>3.8385196794997727E-4</v>
      </c>
      <c r="L9" s="134">
        <f t="shared" si="3"/>
        <v>5.0366422710273779E-4</v>
      </c>
      <c r="M9" s="134">
        <f t="shared" si="4"/>
        <v>7.4305200860273204E-4</v>
      </c>
      <c r="N9" s="135">
        <f t="shared" si="5"/>
        <v>5.5437564811611337E-4</v>
      </c>
      <c r="O9" s="136"/>
      <c r="P9" s="136">
        <v>18646.37</v>
      </c>
      <c r="Q9" s="136">
        <v>9888.0400000000009</v>
      </c>
      <c r="R9" s="136">
        <v>8135.66</v>
      </c>
      <c r="S9" s="136"/>
      <c r="T9" s="150">
        <f t="shared" si="6"/>
        <v>0</v>
      </c>
      <c r="U9" s="135">
        <f t="shared" si="7"/>
        <v>1.1231071376748742E-6</v>
      </c>
      <c r="V9" s="135">
        <f t="shared" si="8"/>
        <v>7.0288077026639778E-7</v>
      </c>
      <c r="W9" s="135">
        <f t="shared" si="9"/>
        <v>6.4752157688665097E-7</v>
      </c>
      <c r="X9" s="135">
        <f t="shared" si="10"/>
        <v>0</v>
      </c>
      <c r="Y9" s="135">
        <f t="shared" si="11"/>
        <v>4.9470189696558452E-7</v>
      </c>
      <c r="Z9" s="86" t="s">
        <v>80</v>
      </c>
      <c r="AA9" s="136">
        <v>9950</v>
      </c>
      <c r="AB9" s="136">
        <v>9125</v>
      </c>
      <c r="AC9" s="136">
        <v>9325</v>
      </c>
      <c r="AD9" s="86"/>
      <c r="AE9" s="136">
        <v>9467</v>
      </c>
      <c r="AF9" s="86" t="s">
        <v>91</v>
      </c>
      <c r="AG9" s="126">
        <f t="shared" si="12"/>
        <v>80</v>
      </c>
      <c r="AH9" s="126">
        <f t="shared" si="14"/>
        <v>40</v>
      </c>
      <c r="AI9" s="126">
        <f t="shared" si="13"/>
        <v>30</v>
      </c>
      <c r="AJ9" s="127">
        <f t="shared" si="15"/>
        <v>54</v>
      </c>
      <c r="AK9" s="27"/>
    </row>
    <row r="10" spans="1:37" ht="15.95">
      <c r="A10" s="86">
        <v>6</v>
      </c>
      <c r="B10" s="231" t="s">
        <v>25</v>
      </c>
      <c r="C10" s="137" t="s">
        <v>90</v>
      </c>
      <c r="D10" s="136">
        <v>1976668909787.01</v>
      </c>
      <c r="E10" s="136">
        <v>7249376316522.46</v>
      </c>
      <c r="F10" s="136">
        <v>6269954110627.3701</v>
      </c>
      <c r="G10" s="136">
        <v>3359623217893.9902</v>
      </c>
      <c r="H10" s="136">
        <v>2372204452456.2002</v>
      </c>
      <c r="I10" s="134">
        <f t="shared" si="0"/>
        <v>0.75812919524265721</v>
      </c>
      <c r="J10" s="134">
        <f t="shared" si="1"/>
        <v>0.89199922187237213</v>
      </c>
      <c r="K10" s="134">
        <f t="shared" si="2"/>
        <v>0.86002851166784922</v>
      </c>
      <c r="L10" s="134">
        <f t="shared" si="3"/>
        <v>0.80839027233323779</v>
      </c>
      <c r="M10" s="134">
        <f t="shared" si="4"/>
        <v>0.73322814915250945</v>
      </c>
      <c r="N10" s="135">
        <f t="shared" si="5"/>
        <v>0.8103550700537252</v>
      </c>
      <c r="O10" s="136">
        <v>4380488439.2600002</v>
      </c>
      <c r="P10" s="136">
        <v>10504602722.16</v>
      </c>
      <c r="Q10" s="136">
        <v>8047637187.4700003</v>
      </c>
      <c r="R10" s="136">
        <v>6013065935.75</v>
      </c>
      <c r="S10" s="136">
        <v>4091458651.5100002</v>
      </c>
      <c r="T10" s="150">
        <f t="shared" si="6"/>
        <v>0.45061526824092035</v>
      </c>
      <c r="U10" s="135">
        <f t="shared" si="7"/>
        <v>0.63271265644180652</v>
      </c>
      <c r="V10" s="135">
        <f t="shared" si="8"/>
        <v>0.57205770053048133</v>
      </c>
      <c r="W10" s="135">
        <f t="shared" si="9"/>
        <v>0.47858316800852613</v>
      </c>
      <c r="X10" s="135">
        <f t="shared" si="10"/>
        <v>0.36030437364445084</v>
      </c>
      <c r="Y10" s="135">
        <f t="shared" si="11"/>
        <v>0.49885463337323699</v>
      </c>
      <c r="Z10" s="136">
        <v>1145</v>
      </c>
      <c r="AA10" s="86">
        <v>951</v>
      </c>
      <c r="AB10" s="86">
        <v>555</v>
      </c>
      <c r="AC10" s="86">
        <v>745</v>
      </c>
      <c r="AD10" s="86">
        <v>664</v>
      </c>
      <c r="AE10" s="86">
        <v>812</v>
      </c>
      <c r="AF10" s="86" t="s">
        <v>92</v>
      </c>
      <c r="AG10" s="126">
        <f t="shared" si="12"/>
        <v>100</v>
      </c>
      <c r="AH10" s="126">
        <f t="shared" si="14"/>
        <v>100</v>
      </c>
      <c r="AI10" s="126">
        <f t="shared" si="13"/>
        <v>100</v>
      </c>
      <c r="AJ10" s="127">
        <f t="shared" si="15"/>
        <v>100</v>
      </c>
      <c r="AK10" s="27"/>
    </row>
    <row r="11" spans="1:37" ht="15.95">
      <c r="A11" s="86">
        <v>7</v>
      </c>
      <c r="B11" s="231" t="s">
        <v>26</v>
      </c>
      <c r="C11" s="137" t="s">
        <v>90</v>
      </c>
      <c r="D11" s="136">
        <v>2331447</v>
      </c>
      <c r="E11" s="136">
        <v>5427970474</v>
      </c>
      <c r="F11" s="136">
        <v>9533433656</v>
      </c>
      <c r="G11" s="136">
        <v>10569081293</v>
      </c>
      <c r="H11" s="136">
        <v>3978686599</v>
      </c>
      <c r="I11" s="134">
        <f t="shared" si="0"/>
        <v>8.942003534883154E-7</v>
      </c>
      <c r="J11" s="134">
        <f t="shared" si="1"/>
        <v>6.6788441208647388E-4</v>
      </c>
      <c r="K11" s="134">
        <f t="shared" si="2"/>
        <v>1.3076690217487842E-3</v>
      </c>
      <c r="L11" s="134">
        <f t="shared" si="3"/>
        <v>2.5431252109622713E-3</v>
      </c>
      <c r="M11" s="134">
        <f t="shared" si="4"/>
        <v>1.2297780690960602E-3</v>
      </c>
      <c r="N11" s="135">
        <f t="shared" si="5"/>
        <v>1.1498701828494156E-3</v>
      </c>
      <c r="O11" s="136">
        <v>91231097.670000002</v>
      </c>
      <c r="P11" s="136">
        <v>54412669.340000004</v>
      </c>
      <c r="Q11" s="136">
        <v>56478496.420000002</v>
      </c>
      <c r="R11" s="136">
        <v>86383914.230000004</v>
      </c>
      <c r="S11" s="136">
        <v>499382978.45999998</v>
      </c>
      <c r="T11" s="150">
        <f t="shared" si="6"/>
        <v>9.3848268563003958E-3</v>
      </c>
      <c r="U11" s="135">
        <f t="shared" si="7"/>
        <v>3.2773809227048902E-3</v>
      </c>
      <c r="V11" s="135">
        <f t="shared" si="8"/>
        <v>4.0147136406383458E-3</v>
      </c>
      <c r="W11" s="135">
        <f t="shared" si="9"/>
        <v>6.8753424257959181E-3</v>
      </c>
      <c r="X11" s="135">
        <f t="shared" si="10"/>
        <v>4.3976949686715124E-2</v>
      </c>
      <c r="Y11" s="135">
        <f t="shared" si="11"/>
        <v>1.3505842706430935E-2</v>
      </c>
      <c r="Z11" s="136">
        <v>9999</v>
      </c>
      <c r="AA11" s="136">
        <v>10000</v>
      </c>
      <c r="AB11" s="136">
        <v>10000</v>
      </c>
      <c r="AC11" s="136">
        <v>9945</v>
      </c>
      <c r="AD11" s="136">
        <v>4014</v>
      </c>
      <c r="AE11" s="136">
        <v>8792</v>
      </c>
      <c r="AF11" s="86" t="s">
        <v>91</v>
      </c>
      <c r="AG11" s="126">
        <f t="shared" si="12"/>
        <v>100</v>
      </c>
      <c r="AH11" s="126">
        <f t="shared" si="14"/>
        <v>100</v>
      </c>
      <c r="AI11" s="126">
        <f t="shared" si="13"/>
        <v>30</v>
      </c>
      <c r="AJ11" s="127">
        <f t="shared" si="15"/>
        <v>86</v>
      </c>
      <c r="AK11" s="27"/>
    </row>
    <row r="12" spans="1:37" ht="15.95">
      <c r="A12" s="86">
        <v>8</v>
      </c>
      <c r="B12" s="231" t="s">
        <v>27</v>
      </c>
      <c r="C12" s="137" t="s">
        <v>90</v>
      </c>
      <c r="D12" s="136"/>
      <c r="E12" s="136">
        <v>1226411</v>
      </c>
      <c r="F12" s="136"/>
      <c r="G12" s="136"/>
      <c r="H12" s="136"/>
      <c r="I12" s="134">
        <f t="shared" si="0"/>
        <v>0</v>
      </c>
      <c r="J12" s="134">
        <f t="shared" si="1"/>
        <v>1.5090369294285599E-7</v>
      </c>
      <c r="K12" s="134">
        <f t="shared" si="2"/>
        <v>0</v>
      </c>
      <c r="L12" s="134">
        <f t="shared" si="3"/>
        <v>0</v>
      </c>
      <c r="M12" s="134">
        <f t="shared" si="4"/>
        <v>0</v>
      </c>
      <c r="N12" s="135">
        <f t="shared" si="5"/>
        <v>3.01807385885712E-8</v>
      </c>
      <c r="O12" s="136">
        <v>6422.56</v>
      </c>
      <c r="P12" s="136">
        <v>46682.5</v>
      </c>
      <c r="Q12" s="136">
        <v>4765</v>
      </c>
      <c r="R12" s="136">
        <v>1928.71</v>
      </c>
      <c r="S12" s="136">
        <v>24127.58</v>
      </c>
      <c r="T12" s="150">
        <f t="shared" si="6"/>
        <v>6.6068056960385657E-7</v>
      </c>
      <c r="U12" s="135">
        <f t="shared" si="7"/>
        <v>2.8117777859447879E-6</v>
      </c>
      <c r="V12" s="135">
        <f t="shared" si="8"/>
        <v>3.3871493949451919E-7</v>
      </c>
      <c r="W12" s="135">
        <f t="shared" si="9"/>
        <v>1.5350707140625994E-7</v>
      </c>
      <c r="X12" s="135">
        <f t="shared" si="10"/>
        <v>2.1247367601400608E-6</v>
      </c>
      <c r="Y12" s="135">
        <f t="shared" si="11"/>
        <v>1.2178834253178969E-6</v>
      </c>
      <c r="Z12" s="136">
        <v>10000</v>
      </c>
      <c r="AA12" s="136">
        <v>3530</v>
      </c>
      <c r="AB12" s="136">
        <v>4596</v>
      </c>
      <c r="AC12" s="136">
        <v>10000</v>
      </c>
      <c r="AD12" s="136">
        <v>9351</v>
      </c>
      <c r="AE12" s="136">
        <v>7496</v>
      </c>
      <c r="AF12" s="86" t="s">
        <v>91</v>
      </c>
      <c r="AG12" s="126">
        <f t="shared" si="12"/>
        <v>40</v>
      </c>
      <c r="AH12" s="126">
        <f t="shared" si="14"/>
        <v>40</v>
      </c>
      <c r="AI12" s="126">
        <f t="shared" si="13"/>
        <v>30</v>
      </c>
      <c r="AJ12" s="127">
        <f t="shared" si="15"/>
        <v>38</v>
      </c>
      <c r="AK12" s="27"/>
    </row>
    <row r="13" spans="1:37" ht="15.95">
      <c r="A13" s="86">
        <v>9</v>
      </c>
      <c r="B13" s="231" t="s">
        <v>28</v>
      </c>
      <c r="C13" s="137" t="s">
        <v>90</v>
      </c>
      <c r="D13" s="136"/>
      <c r="E13" s="136"/>
      <c r="F13" s="136"/>
      <c r="G13" s="136"/>
      <c r="H13" s="136"/>
      <c r="I13" s="134">
        <f t="shared" si="0"/>
        <v>0</v>
      </c>
      <c r="J13" s="134">
        <f t="shared" si="1"/>
        <v>0</v>
      </c>
      <c r="K13" s="134">
        <f t="shared" si="2"/>
        <v>0</v>
      </c>
      <c r="L13" s="134">
        <f t="shared" si="3"/>
        <v>0</v>
      </c>
      <c r="M13" s="134">
        <f t="shared" si="4"/>
        <v>0</v>
      </c>
      <c r="N13" s="135">
        <f t="shared" si="5"/>
        <v>0</v>
      </c>
      <c r="O13" s="136">
        <v>28684</v>
      </c>
      <c r="P13" s="136">
        <v>6896.5</v>
      </c>
      <c r="Q13" s="136"/>
      <c r="R13" s="136"/>
      <c r="S13" s="136"/>
      <c r="T13" s="150">
        <f t="shared" si="6"/>
        <v>2.9506865577771203E-6</v>
      </c>
      <c r="U13" s="135">
        <f t="shared" si="7"/>
        <v>4.1538961068426559E-7</v>
      </c>
      <c r="V13" s="135">
        <f t="shared" si="8"/>
        <v>0</v>
      </c>
      <c r="W13" s="135">
        <f t="shared" si="9"/>
        <v>0</v>
      </c>
      <c r="X13" s="135">
        <f t="shared" si="10"/>
        <v>0</v>
      </c>
      <c r="Y13" s="135">
        <f t="shared" si="11"/>
        <v>6.7321523369227712E-7</v>
      </c>
      <c r="Z13" s="136">
        <v>10000</v>
      </c>
      <c r="AA13" s="136">
        <v>6596</v>
      </c>
      <c r="AB13" s="86"/>
      <c r="AC13" s="86"/>
      <c r="AD13" s="86"/>
      <c r="AE13" s="136">
        <v>8298</v>
      </c>
      <c r="AF13" s="86" t="s">
        <v>91</v>
      </c>
      <c r="AG13" s="126">
        <f t="shared" si="12"/>
        <v>0</v>
      </c>
      <c r="AH13" s="126">
        <f t="shared" si="14"/>
        <v>40</v>
      </c>
      <c r="AI13" s="126">
        <f t="shared" si="13"/>
        <v>30</v>
      </c>
      <c r="AJ13" s="127">
        <f t="shared" si="15"/>
        <v>22</v>
      </c>
      <c r="AK13" s="27"/>
    </row>
    <row r="14" spans="1:37" ht="15.95">
      <c r="A14" s="86">
        <v>10</v>
      </c>
      <c r="B14" s="231" t="s">
        <v>29</v>
      </c>
      <c r="C14" s="137" t="s">
        <v>90</v>
      </c>
      <c r="D14" s="136">
        <v>14252617364.950001</v>
      </c>
      <c r="E14" s="136">
        <v>9435075379.6145992</v>
      </c>
      <c r="F14" s="136">
        <v>12460350590.98</v>
      </c>
      <c r="G14" s="136">
        <v>11705537756</v>
      </c>
      <c r="H14" s="136">
        <v>12236793580</v>
      </c>
      <c r="I14" s="134">
        <f t="shared" si="0"/>
        <v>5.4664315705533918E-3</v>
      </c>
      <c r="J14" s="134">
        <f t="shared" si="1"/>
        <v>1.1609384765613338E-3</v>
      </c>
      <c r="K14" s="134">
        <f t="shared" si="2"/>
        <v>1.7091443708425909E-3</v>
      </c>
      <c r="L14" s="134">
        <f t="shared" si="3"/>
        <v>2.816578598451162E-3</v>
      </c>
      <c r="M14" s="134">
        <f t="shared" si="4"/>
        <v>3.7822884528079578E-3</v>
      </c>
      <c r="N14" s="135">
        <f t="shared" si="5"/>
        <v>2.9870762938432873E-3</v>
      </c>
      <c r="O14" s="136">
        <v>129782476.93000001</v>
      </c>
      <c r="P14" s="136">
        <v>104029971.59999999</v>
      </c>
      <c r="Q14" s="136">
        <v>150918944.02000001</v>
      </c>
      <c r="R14" s="136">
        <v>139934961.21000001</v>
      </c>
      <c r="S14" s="136">
        <v>139325112.34999999</v>
      </c>
      <c r="T14" s="150">
        <f t="shared" si="6"/>
        <v>1.3350558154803033E-2</v>
      </c>
      <c r="U14" s="135">
        <f t="shared" si="7"/>
        <v>6.2659275578074679E-3</v>
      </c>
      <c r="V14" s="135">
        <f t="shared" si="8"/>
        <v>1.0727912065542713E-2</v>
      </c>
      <c r="W14" s="135">
        <f t="shared" si="9"/>
        <v>1.1137499200344108E-2</v>
      </c>
      <c r="X14" s="135">
        <f t="shared" si="10"/>
        <v>1.2269327790880351E-2</v>
      </c>
      <c r="Y14" s="135">
        <f t="shared" si="11"/>
        <v>1.0750244953875535E-2</v>
      </c>
      <c r="Z14" s="136">
        <v>3043</v>
      </c>
      <c r="AA14" s="136">
        <v>2919</v>
      </c>
      <c r="AB14" s="136">
        <v>3110</v>
      </c>
      <c r="AC14" s="136">
        <v>3182</v>
      </c>
      <c r="AD14" s="136">
        <v>3048</v>
      </c>
      <c r="AE14" s="136">
        <v>3060</v>
      </c>
      <c r="AF14" s="86" t="s">
        <v>91</v>
      </c>
      <c r="AG14" s="126">
        <f t="shared" si="12"/>
        <v>100</v>
      </c>
      <c r="AH14" s="126">
        <f t="shared" si="14"/>
        <v>100</v>
      </c>
      <c r="AI14" s="126">
        <f t="shared" si="13"/>
        <v>30</v>
      </c>
      <c r="AJ14" s="127">
        <f t="shared" si="15"/>
        <v>86</v>
      </c>
      <c r="AK14" s="27"/>
    </row>
    <row r="15" spans="1:37" ht="15.95">
      <c r="A15" s="86">
        <v>11</v>
      </c>
      <c r="B15" s="231" t="s">
        <v>30</v>
      </c>
      <c r="C15" s="137" t="s">
        <v>90</v>
      </c>
      <c r="D15" s="136"/>
      <c r="E15" s="136"/>
      <c r="F15" s="136"/>
      <c r="G15" s="136">
        <v>772420697</v>
      </c>
      <c r="H15" s="136">
        <v>360375012.75</v>
      </c>
      <c r="I15" s="134">
        <f t="shared" si="0"/>
        <v>0</v>
      </c>
      <c r="J15" s="134">
        <f t="shared" si="1"/>
        <v>0</v>
      </c>
      <c r="K15" s="134">
        <f t="shared" si="2"/>
        <v>0</v>
      </c>
      <c r="L15" s="134">
        <f t="shared" si="3"/>
        <v>1.8585934704757785E-4</v>
      </c>
      <c r="M15" s="134">
        <f t="shared" si="4"/>
        <v>1.1138884058914112E-4</v>
      </c>
      <c r="N15" s="135">
        <f t="shared" si="5"/>
        <v>5.9449637527343789E-5</v>
      </c>
      <c r="O15" s="136">
        <v>472735.5</v>
      </c>
      <c r="P15" s="136">
        <v>1620805.42</v>
      </c>
      <c r="Q15" s="136">
        <v>1379015.62</v>
      </c>
      <c r="R15" s="136">
        <v>4099617.93</v>
      </c>
      <c r="S15" s="136">
        <v>853338.66</v>
      </c>
      <c r="T15" s="150">
        <f t="shared" si="6"/>
        <v>4.8629698969252748E-5</v>
      </c>
      <c r="U15" s="135">
        <f t="shared" si="7"/>
        <v>9.7624263381243761E-5</v>
      </c>
      <c r="V15" s="135">
        <f t="shared" si="8"/>
        <v>9.8025853576137856E-5</v>
      </c>
      <c r="W15" s="135">
        <f t="shared" si="9"/>
        <v>3.2629080697403634E-4</v>
      </c>
      <c r="X15" s="135">
        <f t="shared" si="10"/>
        <v>7.51471975121691E-5</v>
      </c>
      <c r="Y15" s="135">
        <f t="shared" si="11"/>
        <v>1.2914356408256797E-4</v>
      </c>
      <c r="Z15" s="136">
        <v>6090</v>
      </c>
      <c r="AA15" s="136">
        <v>6398</v>
      </c>
      <c r="AB15" s="136">
        <v>9492</v>
      </c>
      <c r="AC15" s="136">
        <v>9904</v>
      </c>
      <c r="AD15" s="136">
        <v>4730</v>
      </c>
      <c r="AE15" s="136">
        <v>7323</v>
      </c>
      <c r="AF15" s="86" t="s">
        <v>91</v>
      </c>
      <c r="AG15" s="126">
        <f t="shared" si="12"/>
        <v>80</v>
      </c>
      <c r="AH15" s="126">
        <f t="shared" si="14"/>
        <v>80</v>
      </c>
      <c r="AI15" s="126">
        <f t="shared" si="13"/>
        <v>30</v>
      </c>
      <c r="AJ15" s="127">
        <f t="shared" si="15"/>
        <v>70</v>
      </c>
      <c r="AK15" s="27"/>
    </row>
    <row r="16" spans="1:37" ht="15.95">
      <c r="A16" s="86">
        <v>12</v>
      </c>
      <c r="B16" s="231" t="s">
        <v>31</v>
      </c>
      <c r="C16" s="137" t="s">
        <v>90</v>
      </c>
      <c r="D16" s="136">
        <v>84609666</v>
      </c>
      <c r="E16" s="136">
        <v>182535446</v>
      </c>
      <c r="F16" s="136">
        <v>142081544</v>
      </c>
      <c r="G16" s="136">
        <v>174408150.03</v>
      </c>
      <c r="H16" s="136">
        <v>258162007.56</v>
      </c>
      <c r="I16" s="134">
        <f t="shared" si="0"/>
        <v>3.2451088635396086E-5</v>
      </c>
      <c r="J16" s="134">
        <f t="shared" si="1"/>
        <v>2.246006672671011E-5</v>
      </c>
      <c r="K16" s="134">
        <f t="shared" si="2"/>
        <v>1.9488847392786309E-5</v>
      </c>
      <c r="L16" s="134">
        <f t="shared" si="3"/>
        <v>4.1965971406837892E-5</v>
      </c>
      <c r="M16" s="134">
        <f t="shared" si="4"/>
        <v>7.9795673087419084E-5</v>
      </c>
      <c r="N16" s="135">
        <f t="shared" si="5"/>
        <v>3.9232329449829897E-5</v>
      </c>
      <c r="O16" s="136"/>
      <c r="P16" s="136">
        <v>2417.6</v>
      </c>
      <c r="Q16" s="136">
        <v>9000</v>
      </c>
      <c r="R16" s="136">
        <v>145082.16</v>
      </c>
      <c r="S16" s="136">
        <v>360815.18</v>
      </c>
      <c r="T16" s="150">
        <f t="shared" si="6"/>
        <v>0</v>
      </c>
      <c r="U16" s="135">
        <f t="shared" si="7"/>
        <v>1.4561675093022264E-7</v>
      </c>
      <c r="V16" s="135">
        <f t="shared" si="8"/>
        <v>6.3975539463812643E-7</v>
      </c>
      <c r="W16" s="135">
        <f t="shared" si="9"/>
        <v>1.1547167534203913E-5</v>
      </c>
      <c r="X16" s="135">
        <f t="shared" si="10"/>
        <v>3.17743129050884E-5</v>
      </c>
      <c r="Y16" s="135">
        <f t="shared" si="11"/>
        <v>8.8213705169721322E-6</v>
      </c>
      <c r="Z16" s="86" t="s">
        <v>80</v>
      </c>
      <c r="AA16" s="136">
        <v>5102</v>
      </c>
      <c r="AB16" s="136">
        <v>10000</v>
      </c>
      <c r="AC16" s="136">
        <v>9878</v>
      </c>
      <c r="AD16" s="136">
        <v>10000</v>
      </c>
      <c r="AE16" s="136">
        <v>8745</v>
      </c>
      <c r="AF16" s="86" t="s">
        <v>91</v>
      </c>
      <c r="AG16" s="126">
        <f t="shared" si="12"/>
        <v>60</v>
      </c>
      <c r="AH16" s="126">
        <f t="shared" si="14"/>
        <v>60</v>
      </c>
      <c r="AI16" s="126">
        <f t="shared" si="13"/>
        <v>30</v>
      </c>
      <c r="AJ16" s="127">
        <f>+(AG16*$AG$4)+(AH16*$AH$4)+(AI16*$AI$4)</f>
        <v>54</v>
      </c>
      <c r="AK16" s="27"/>
    </row>
    <row r="17" spans="1:37" ht="15.95">
      <c r="A17" s="86">
        <v>13</v>
      </c>
      <c r="B17" s="231" t="s">
        <v>32</v>
      </c>
      <c r="C17" s="137" t="s">
        <v>90</v>
      </c>
      <c r="D17" s="136"/>
      <c r="E17" s="136"/>
      <c r="F17" s="136"/>
      <c r="G17" s="136"/>
      <c r="H17" s="136"/>
      <c r="I17" s="134">
        <f t="shared" si="0"/>
        <v>0</v>
      </c>
      <c r="J17" s="134">
        <f t="shared" si="1"/>
        <v>0</v>
      </c>
      <c r="K17" s="134">
        <f t="shared" si="2"/>
        <v>0</v>
      </c>
      <c r="L17" s="134">
        <f t="shared" si="3"/>
        <v>0</v>
      </c>
      <c r="M17" s="134">
        <f t="shared" si="4"/>
        <v>0</v>
      </c>
      <c r="N17" s="135">
        <f t="shared" si="5"/>
        <v>0</v>
      </c>
      <c r="O17" s="136"/>
      <c r="P17" s="136"/>
      <c r="Q17" s="136"/>
      <c r="R17" s="136"/>
      <c r="S17" s="136"/>
      <c r="T17" s="150">
        <f t="shared" si="6"/>
        <v>0</v>
      </c>
      <c r="U17" s="135">
        <f t="shared" si="7"/>
        <v>0</v>
      </c>
      <c r="V17" s="135">
        <f t="shared" si="8"/>
        <v>0</v>
      </c>
      <c r="W17" s="135">
        <f t="shared" si="9"/>
        <v>0</v>
      </c>
      <c r="X17" s="135">
        <f t="shared" si="10"/>
        <v>0</v>
      </c>
      <c r="Y17" s="135">
        <f t="shared" si="11"/>
        <v>0</v>
      </c>
      <c r="Z17" s="86" t="s">
        <v>80</v>
      </c>
      <c r="AA17" s="86" t="s">
        <v>93</v>
      </c>
      <c r="AB17" s="86" t="s">
        <v>93</v>
      </c>
      <c r="AC17" s="86" t="s">
        <v>93</v>
      </c>
      <c r="AD17" s="86" t="s">
        <v>93</v>
      </c>
      <c r="AE17" s="86" t="s">
        <v>94</v>
      </c>
      <c r="AF17" s="86" t="s">
        <v>95</v>
      </c>
      <c r="AG17" s="126">
        <f t="shared" si="12"/>
        <v>0</v>
      </c>
      <c r="AH17" s="126">
        <f t="shared" si="14"/>
        <v>0</v>
      </c>
      <c r="AI17" s="126">
        <f t="shared" si="13"/>
        <v>0</v>
      </c>
      <c r="AJ17" s="127">
        <f>+(AG17*$AG$4)+(AH17*$AH$4)+(AI17*$AI$4)</f>
        <v>0</v>
      </c>
      <c r="AK17" s="27"/>
    </row>
    <row r="18" spans="1:37" ht="15.95">
      <c r="A18" s="86">
        <v>14</v>
      </c>
      <c r="B18" s="231" t="s">
        <v>33</v>
      </c>
      <c r="C18" s="137" t="s">
        <v>90</v>
      </c>
      <c r="D18" s="136">
        <v>89786</v>
      </c>
      <c r="E18" s="136">
        <v>153199</v>
      </c>
      <c r="F18" s="136">
        <v>2195918</v>
      </c>
      <c r="G18" s="136">
        <v>697683</v>
      </c>
      <c r="H18" s="136">
        <v>148164</v>
      </c>
      <c r="I18" s="134">
        <f t="shared" si="0"/>
        <v>3.4436413496983586E-8</v>
      </c>
      <c r="J18" s="134">
        <f t="shared" si="1"/>
        <v>1.8850364890034904E-8</v>
      </c>
      <c r="K18" s="134">
        <f t="shared" si="2"/>
        <v>3.0120668444504326E-7</v>
      </c>
      <c r="L18" s="134">
        <f t="shared" si="3"/>
        <v>1.6787601281247808E-7</v>
      </c>
      <c r="M18" s="134">
        <f t="shared" si="4"/>
        <v>4.5796227799230251E-8</v>
      </c>
      <c r="N18" s="135">
        <f t="shared" si="5"/>
        <v>1.1363314068875402E-7</v>
      </c>
      <c r="O18" s="136">
        <v>65049.99</v>
      </c>
      <c r="P18" s="136">
        <v>43767.199999999997</v>
      </c>
      <c r="Q18" s="136">
        <v>125783.62</v>
      </c>
      <c r="R18" s="136">
        <v>50782.81</v>
      </c>
      <c r="S18" s="136">
        <v>85628.28</v>
      </c>
      <c r="T18" s="150">
        <f t="shared" si="6"/>
        <v>6.6916096456748038E-6</v>
      </c>
      <c r="U18" s="135">
        <f t="shared" si="7"/>
        <v>2.6361835958443251E-6</v>
      </c>
      <c r="V18" s="135">
        <f t="shared" si="8"/>
        <v>8.9411943835680149E-6</v>
      </c>
      <c r="W18" s="135">
        <f t="shared" si="9"/>
        <v>4.0418312970226373E-6</v>
      </c>
      <c r="X18" s="135">
        <f t="shared" si="10"/>
        <v>7.5406466054020313E-6</v>
      </c>
      <c r="Y18" s="135">
        <f t="shared" si="11"/>
        <v>5.9702931055023627E-6</v>
      </c>
      <c r="Z18" s="136">
        <v>8459</v>
      </c>
      <c r="AA18" s="136">
        <v>9465</v>
      </c>
      <c r="AB18" s="136">
        <v>4690</v>
      </c>
      <c r="AC18" s="136">
        <v>3071</v>
      </c>
      <c r="AD18" s="136">
        <v>5157</v>
      </c>
      <c r="AE18" s="136">
        <v>6168</v>
      </c>
      <c r="AF18" s="86" t="s">
        <v>91</v>
      </c>
      <c r="AG18" s="126">
        <f t="shared" si="12"/>
        <v>40</v>
      </c>
      <c r="AH18" s="126">
        <f t="shared" si="14"/>
        <v>60</v>
      </c>
      <c r="AI18" s="126">
        <f t="shared" si="13"/>
        <v>30</v>
      </c>
      <c r="AJ18" s="127">
        <f t="shared" si="15"/>
        <v>46</v>
      </c>
      <c r="AK18" s="27"/>
    </row>
    <row r="19" spans="1:37" ht="15.95">
      <c r="A19" s="86">
        <v>15</v>
      </c>
      <c r="B19" s="231" t="s">
        <v>34</v>
      </c>
      <c r="C19" s="137" t="s">
        <v>90</v>
      </c>
      <c r="D19" s="136">
        <v>4178275580</v>
      </c>
      <c r="E19" s="136">
        <v>2613034842</v>
      </c>
      <c r="F19" s="136">
        <v>3825430577</v>
      </c>
      <c r="G19" s="136">
        <v>1548502235</v>
      </c>
      <c r="H19" s="136">
        <v>2241031473</v>
      </c>
      <c r="I19" s="134">
        <f t="shared" si="0"/>
        <v>1.6025307461879235E-3</v>
      </c>
      <c r="J19" s="134">
        <f t="shared" si="1"/>
        <v>3.2152076868696727E-4</v>
      </c>
      <c r="K19" s="134">
        <f t="shared" si="2"/>
        <v>5.2472144254605982E-4</v>
      </c>
      <c r="L19" s="134">
        <f t="shared" si="3"/>
        <v>3.7259956318702185E-4</v>
      </c>
      <c r="M19" s="134">
        <f t="shared" si="4"/>
        <v>6.9268370078259573E-4</v>
      </c>
      <c r="N19" s="135">
        <f t="shared" si="5"/>
        <v>7.028112442781136E-4</v>
      </c>
      <c r="O19" s="136">
        <v>9416788.2599999998</v>
      </c>
      <c r="P19" s="136">
        <v>9323379.9499999993</v>
      </c>
      <c r="Q19" s="136">
        <v>8473353.6099999994</v>
      </c>
      <c r="R19" s="136">
        <v>9311551.4700000007</v>
      </c>
      <c r="S19" s="136">
        <v>7174004.6200000001</v>
      </c>
      <c r="T19" s="150">
        <f t="shared" si="6"/>
        <v>9.6869301827553328E-4</v>
      </c>
      <c r="U19" s="135">
        <f t="shared" si="7"/>
        <v>5.6156531105517108E-4</v>
      </c>
      <c r="V19" s="135">
        <f t="shared" si="8"/>
        <v>6.0231929807488252E-4</v>
      </c>
      <c r="W19" s="135">
        <f t="shared" si="9"/>
        <v>7.4111141457676617E-4</v>
      </c>
      <c r="X19" s="135">
        <f t="shared" si="10"/>
        <v>6.3176130111385509E-4</v>
      </c>
      <c r="Y19" s="135">
        <f t="shared" si="11"/>
        <v>7.0109006861924161E-4</v>
      </c>
      <c r="Z19" s="136">
        <v>1105</v>
      </c>
      <c r="AA19" s="136">
        <v>1253</v>
      </c>
      <c r="AB19" s="136">
        <v>1297</v>
      </c>
      <c r="AC19" s="136">
        <v>1399</v>
      </c>
      <c r="AD19" s="136">
        <v>1196</v>
      </c>
      <c r="AE19" s="136">
        <v>1250</v>
      </c>
      <c r="AF19" s="86" t="s">
        <v>92</v>
      </c>
      <c r="AG19" s="126">
        <f t="shared" si="12"/>
        <v>80</v>
      </c>
      <c r="AH19" s="126">
        <f t="shared" si="14"/>
        <v>80</v>
      </c>
      <c r="AI19" s="126">
        <f t="shared" si="13"/>
        <v>100</v>
      </c>
      <c r="AJ19" s="127">
        <f t="shared" si="15"/>
        <v>84</v>
      </c>
      <c r="AK19" s="27"/>
    </row>
    <row r="20" spans="1:37" ht="15.95">
      <c r="A20" s="86">
        <v>16</v>
      </c>
      <c r="B20" s="231" t="s">
        <v>35</v>
      </c>
      <c r="C20" s="137" t="s">
        <v>90</v>
      </c>
      <c r="D20" s="136"/>
      <c r="E20" s="136"/>
      <c r="F20" s="136"/>
      <c r="G20" s="136"/>
      <c r="H20" s="136"/>
      <c r="I20" s="134">
        <f t="shared" si="0"/>
        <v>0</v>
      </c>
      <c r="J20" s="134">
        <f t="shared" si="1"/>
        <v>0</v>
      </c>
      <c r="K20" s="134">
        <f t="shared" si="2"/>
        <v>0</v>
      </c>
      <c r="L20" s="134">
        <f t="shared" si="3"/>
        <v>0</v>
      </c>
      <c r="M20" s="134">
        <f t="shared" si="4"/>
        <v>0</v>
      </c>
      <c r="N20" s="135">
        <f t="shared" si="5"/>
        <v>0</v>
      </c>
      <c r="O20" s="136"/>
      <c r="P20" s="136"/>
      <c r="Q20" s="136"/>
      <c r="R20" s="136"/>
      <c r="S20" s="136"/>
      <c r="T20" s="150">
        <f t="shared" si="6"/>
        <v>0</v>
      </c>
      <c r="U20" s="135">
        <f t="shared" si="7"/>
        <v>0</v>
      </c>
      <c r="V20" s="135">
        <f t="shared" si="8"/>
        <v>0</v>
      </c>
      <c r="W20" s="135">
        <f t="shared" si="9"/>
        <v>0</v>
      </c>
      <c r="X20" s="135">
        <f t="shared" si="10"/>
        <v>0</v>
      </c>
      <c r="Y20" s="135">
        <f t="shared" si="11"/>
        <v>0</v>
      </c>
      <c r="Z20" s="86" t="s">
        <v>96</v>
      </c>
      <c r="AA20" s="86" t="s">
        <v>93</v>
      </c>
      <c r="AB20" s="86" t="s">
        <v>93</v>
      </c>
      <c r="AC20" s="86" t="s">
        <v>93</v>
      </c>
      <c r="AD20" s="86" t="s">
        <v>93</v>
      </c>
      <c r="AE20" s="86" t="s">
        <v>97</v>
      </c>
      <c r="AF20" s="86" t="s">
        <v>95</v>
      </c>
      <c r="AG20" s="126">
        <f t="shared" si="12"/>
        <v>0</v>
      </c>
      <c r="AH20" s="126">
        <f t="shared" si="14"/>
        <v>0</v>
      </c>
      <c r="AI20" s="126">
        <f t="shared" si="13"/>
        <v>0</v>
      </c>
      <c r="AJ20" s="127">
        <f>+(AG20*$AG$4)+(AH20*$AH$4)+(AI20*$AI$4)</f>
        <v>0</v>
      </c>
      <c r="AK20" s="27"/>
    </row>
    <row r="21" spans="1:37" ht="15.95">
      <c r="A21" s="86">
        <v>17</v>
      </c>
      <c r="B21" s="231" t="s">
        <v>36</v>
      </c>
      <c r="C21" s="137" t="s">
        <v>90</v>
      </c>
      <c r="D21" s="136">
        <v>29320594</v>
      </c>
      <c r="E21" s="136">
        <v>28746110</v>
      </c>
      <c r="F21" s="136">
        <v>32494451</v>
      </c>
      <c r="G21" s="136">
        <v>17046339</v>
      </c>
      <c r="H21" s="136">
        <v>3547690</v>
      </c>
      <c r="I21" s="134">
        <f t="shared" si="0"/>
        <v>1.1245585046234111E-5</v>
      </c>
      <c r="J21" s="134">
        <f t="shared" si="1"/>
        <v>3.5370639669259018E-6</v>
      </c>
      <c r="K21" s="134">
        <f t="shared" si="2"/>
        <v>4.4571545242454042E-6</v>
      </c>
      <c r="L21" s="134">
        <f t="shared" si="3"/>
        <v>4.1016785909501089E-6</v>
      </c>
      <c r="M21" s="134">
        <f t="shared" si="4"/>
        <v>1.0965606989623065E-6</v>
      </c>
      <c r="N21" s="135">
        <f t="shared" si="5"/>
        <v>4.8876085654635668E-6</v>
      </c>
      <c r="O21" s="136">
        <v>133001.28</v>
      </c>
      <c r="P21" s="136">
        <v>180078.9</v>
      </c>
      <c r="Q21" s="136">
        <v>474023.42</v>
      </c>
      <c r="R21" s="136">
        <v>45696.73</v>
      </c>
      <c r="S21" s="136">
        <v>100324.82</v>
      </c>
      <c r="T21" s="150">
        <f t="shared" si="6"/>
        <v>1.3681672328237029E-5</v>
      </c>
      <c r="U21" s="135">
        <f t="shared" si="7"/>
        <v>1.0846502452468758E-5</v>
      </c>
      <c r="V21" s="135">
        <f t="shared" si="8"/>
        <v>3.3695448903312704E-5</v>
      </c>
      <c r="W21" s="135">
        <f t="shared" si="9"/>
        <v>3.6370274406948589E-6</v>
      </c>
      <c r="X21" s="135">
        <f t="shared" si="10"/>
        <v>8.8348617229094158E-6</v>
      </c>
      <c r="Y21" s="135">
        <f t="shared" si="11"/>
        <v>1.4139102569524556E-5</v>
      </c>
      <c r="Z21" s="136">
        <v>3365</v>
      </c>
      <c r="AA21" s="136">
        <v>4802</v>
      </c>
      <c r="AB21" s="136">
        <v>8444</v>
      </c>
      <c r="AC21" s="136">
        <v>4000</v>
      </c>
      <c r="AD21" s="136">
        <v>2765</v>
      </c>
      <c r="AE21" s="136">
        <v>4675</v>
      </c>
      <c r="AF21" s="86" t="s">
        <v>91</v>
      </c>
      <c r="AG21" s="126">
        <f t="shared" si="12"/>
        <v>60</v>
      </c>
      <c r="AH21" s="126">
        <f t="shared" si="14"/>
        <v>60</v>
      </c>
      <c r="AI21" s="126">
        <f t="shared" si="13"/>
        <v>30</v>
      </c>
      <c r="AJ21" s="127">
        <f t="shared" si="15"/>
        <v>54</v>
      </c>
      <c r="AK21" s="27"/>
    </row>
    <row r="22" spans="1:37" ht="15.95">
      <c r="A22" s="86">
        <v>18</v>
      </c>
      <c r="B22" s="231" t="s">
        <v>37</v>
      </c>
      <c r="C22" s="137" t="s">
        <v>90</v>
      </c>
      <c r="D22" s="136">
        <v>11660486</v>
      </c>
      <c r="E22" s="136">
        <v>6568132</v>
      </c>
      <c r="F22" s="136">
        <v>8592575</v>
      </c>
      <c r="G22" s="136">
        <v>16343075</v>
      </c>
      <c r="H22" s="136">
        <v>7094210</v>
      </c>
      <c r="I22" s="134">
        <f t="shared" si="0"/>
        <v>4.4722486520369332E-6</v>
      </c>
      <c r="J22" s="134">
        <f t="shared" si="1"/>
        <v>8.0817554191551339E-7</v>
      </c>
      <c r="K22" s="134">
        <f t="shared" si="2"/>
        <v>1.1786146051880658E-6</v>
      </c>
      <c r="L22" s="134">
        <f t="shared" si="3"/>
        <v>3.9324596816824983E-6</v>
      </c>
      <c r="M22" s="134">
        <f t="shared" si="4"/>
        <v>2.1927597609107287E-6</v>
      </c>
      <c r="N22" s="135">
        <f t="shared" si="5"/>
        <v>2.5168516483467477E-6</v>
      </c>
      <c r="O22" s="136"/>
      <c r="P22" s="136"/>
      <c r="Q22" s="136"/>
      <c r="R22" s="136"/>
      <c r="S22" s="136"/>
      <c r="T22" s="150">
        <f t="shared" si="6"/>
        <v>0</v>
      </c>
      <c r="U22" s="135">
        <f t="shared" si="7"/>
        <v>0</v>
      </c>
      <c r="V22" s="135">
        <f t="shared" si="8"/>
        <v>0</v>
      </c>
      <c r="W22" s="135">
        <f t="shared" si="9"/>
        <v>0</v>
      </c>
      <c r="X22" s="135">
        <f t="shared" si="10"/>
        <v>0</v>
      </c>
      <c r="Y22" s="135">
        <f t="shared" si="11"/>
        <v>0</v>
      </c>
      <c r="Z22" s="86" t="s">
        <v>96</v>
      </c>
      <c r="AA22" s="86" t="s">
        <v>93</v>
      </c>
      <c r="AB22" s="86" t="s">
        <v>93</v>
      </c>
      <c r="AC22" s="86" t="s">
        <v>93</v>
      </c>
      <c r="AD22" s="86" t="s">
        <v>93</v>
      </c>
      <c r="AE22" s="86" t="s">
        <v>94</v>
      </c>
      <c r="AF22" s="86" t="s">
        <v>95</v>
      </c>
      <c r="AG22" s="126">
        <f t="shared" si="12"/>
        <v>60</v>
      </c>
      <c r="AH22" s="126">
        <f t="shared" si="14"/>
        <v>0</v>
      </c>
      <c r="AI22" s="126">
        <f t="shared" si="13"/>
        <v>0</v>
      </c>
      <c r="AJ22" s="127">
        <f t="shared" si="15"/>
        <v>24</v>
      </c>
      <c r="AK22" s="27"/>
    </row>
    <row r="23" spans="1:37" ht="15.95">
      <c r="A23" s="86">
        <v>19</v>
      </c>
      <c r="B23" s="231" t="s">
        <v>38</v>
      </c>
      <c r="C23" s="137" t="s">
        <v>90</v>
      </c>
      <c r="D23" s="136">
        <v>6047005211.2200003</v>
      </c>
      <c r="E23" s="136">
        <v>7112250859.8800001</v>
      </c>
      <c r="F23" s="136">
        <v>8192955903.2600002</v>
      </c>
      <c r="G23" s="136">
        <v>5816301757.2799997</v>
      </c>
      <c r="H23" s="136">
        <v>6800031652.9799995</v>
      </c>
      <c r="I23" s="134">
        <f t="shared" si="0"/>
        <v>2.3192610414985242E-3</v>
      </c>
      <c r="J23" s="134">
        <f t="shared" si="1"/>
        <v>8.7512662548843334E-4</v>
      </c>
      <c r="K23" s="134">
        <f t="shared" si="2"/>
        <v>1.1238001981063906E-3</v>
      </c>
      <c r="L23" s="134">
        <f t="shared" si="3"/>
        <v>1.3995146052381612E-3</v>
      </c>
      <c r="M23" s="134">
        <f t="shared" si="4"/>
        <v>2.101831744700793E-3</v>
      </c>
      <c r="N23" s="135">
        <f t="shared" si="5"/>
        <v>1.5639068430064605E-3</v>
      </c>
      <c r="O23" s="136">
        <v>19853875.98</v>
      </c>
      <c r="P23" s="136">
        <v>15677656.02</v>
      </c>
      <c r="Q23" s="136">
        <v>17379029.75</v>
      </c>
      <c r="R23" s="136">
        <v>17197541.219999999</v>
      </c>
      <c r="S23" s="136">
        <v>11589329.869999999</v>
      </c>
      <c r="T23" s="150">
        <f t="shared" si="6"/>
        <v>2.0423429428936008E-3</v>
      </c>
      <c r="U23" s="135">
        <f t="shared" si="7"/>
        <v>9.4429571965339411E-4</v>
      </c>
      <c r="V23" s="135">
        <f t="shared" si="8"/>
        <v>1.2353697817932211E-3</v>
      </c>
      <c r="W23" s="135">
        <f t="shared" si="9"/>
        <v>1.3687616013141625E-3</v>
      </c>
      <c r="X23" s="135">
        <f t="shared" si="10"/>
        <v>1.0205862005297766E-3</v>
      </c>
      <c r="Y23" s="135">
        <f t="shared" si="11"/>
        <v>1.3222712492368309E-3</v>
      </c>
      <c r="Z23" s="136">
        <v>4520</v>
      </c>
      <c r="AA23" s="136">
        <v>1798</v>
      </c>
      <c r="AB23" s="136">
        <v>1474</v>
      </c>
      <c r="AC23" s="136">
        <v>2054</v>
      </c>
      <c r="AD23" s="136">
        <v>1050</v>
      </c>
      <c r="AE23" s="136">
        <v>2179</v>
      </c>
      <c r="AF23" s="86" t="s">
        <v>98</v>
      </c>
      <c r="AG23" s="126">
        <f t="shared" si="12"/>
        <v>100</v>
      </c>
      <c r="AH23" s="126">
        <f t="shared" si="14"/>
        <v>100</v>
      </c>
      <c r="AI23" s="126">
        <f t="shared" si="13"/>
        <v>60</v>
      </c>
      <c r="AJ23" s="127">
        <f t="shared" si="15"/>
        <v>92</v>
      </c>
      <c r="AK23" s="27"/>
    </row>
    <row r="24" spans="1:37" ht="15.95">
      <c r="A24" s="86">
        <v>20</v>
      </c>
      <c r="B24" s="231" t="s">
        <v>39</v>
      </c>
      <c r="C24" s="137" t="s">
        <v>90</v>
      </c>
      <c r="D24" s="136">
        <v>3205347422.1436</v>
      </c>
      <c r="E24" s="136">
        <v>3036350588.9724998</v>
      </c>
      <c r="F24" s="136">
        <v>4840503363.3664999</v>
      </c>
      <c r="G24" s="136">
        <v>4283894945.1943998</v>
      </c>
      <c r="H24" s="136">
        <v>6758983868.1499996</v>
      </c>
      <c r="I24" s="134">
        <f t="shared" si="0"/>
        <v>1.2293750610387745E-3</v>
      </c>
      <c r="J24" s="134">
        <f t="shared" si="1"/>
        <v>3.7360763801463464E-4</v>
      </c>
      <c r="K24" s="134">
        <f t="shared" si="2"/>
        <v>6.6395556169433637E-4</v>
      </c>
      <c r="L24" s="134">
        <f t="shared" si="3"/>
        <v>1.0307879118550477E-3</v>
      </c>
      <c r="M24" s="134">
        <f t="shared" si="4"/>
        <v>2.0891442247585098E-3</v>
      </c>
      <c r="N24" s="135">
        <f t="shared" si="5"/>
        <v>1.0773740794722607E-3</v>
      </c>
      <c r="O24" s="136">
        <v>21121454.34</v>
      </c>
      <c r="P24" s="136">
        <v>22516454.98</v>
      </c>
      <c r="Q24" s="136">
        <v>25815041.059999999</v>
      </c>
      <c r="R24" s="136">
        <v>27850219.16</v>
      </c>
      <c r="S24" s="136">
        <v>45092356.670000002</v>
      </c>
      <c r="T24" s="150">
        <f t="shared" si="6"/>
        <v>2.1727371148285183E-3</v>
      </c>
      <c r="U24" s="135">
        <f t="shared" si="7"/>
        <v>1.3562098844532725E-3</v>
      </c>
      <c r="V24" s="135">
        <f t="shared" si="8"/>
        <v>1.8350346423266376E-3</v>
      </c>
      <c r="W24" s="135">
        <f t="shared" si="9"/>
        <v>2.2166139965438601E-3</v>
      </c>
      <c r="X24" s="135">
        <f t="shared" si="10"/>
        <v>3.9709489231035955E-3</v>
      </c>
      <c r="Y24" s="135">
        <f t="shared" si="11"/>
        <v>2.310308912251177E-3</v>
      </c>
      <c r="Z24" s="136">
        <v>7905</v>
      </c>
      <c r="AA24" s="136">
        <v>5323</v>
      </c>
      <c r="AB24" s="136">
        <v>2536</v>
      </c>
      <c r="AC24" s="136">
        <v>2890</v>
      </c>
      <c r="AD24" s="136">
        <v>4092</v>
      </c>
      <c r="AE24" s="136">
        <v>4549</v>
      </c>
      <c r="AF24" s="86" t="s">
        <v>91</v>
      </c>
      <c r="AG24" s="126">
        <f t="shared" si="12"/>
        <v>80</v>
      </c>
      <c r="AH24" s="126">
        <f t="shared" si="14"/>
        <v>100</v>
      </c>
      <c r="AI24" s="126">
        <f t="shared" si="13"/>
        <v>30</v>
      </c>
      <c r="AJ24" s="127">
        <f t="shared" si="15"/>
        <v>78</v>
      </c>
      <c r="AK24" s="27"/>
    </row>
    <row r="25" spans="1:37" ht="15.95">
      <c r="A25" s="86">
        <v>21</v>
      </c>
      <c r="B25" s="231" t="s">
        <v>40</v>
      </c>
      <c r="C25" s="137" t="s">
        <v>90</v>
      </c>
      <c r="D25" s="136"/>
      <c r="E25" s="136"/>
      <c r="F25" s="136"/>
      <c r="G25" s="136"/>
      <c r="H25" s="136"/>
      <c r="I25" s="134">
        <f t="shared" si="0"/>
        <v>0</v>
      </c>
      <c r="J25" s="134">
        <f t="shared" si="1"/>
        <v>0</v>
      </c>
      <c r="K25" s="134">
        <f t="shared" si="2"/>
        <v>0</v>
      </c>
      <c r="L25" s="134">
        <f t="shared" si="3"/>
        <v>0</v>
      </c>
      <c r="M25" s="134">
        <f t="shared" si="4"/>
        <v>0</v>
      </c>
      <c r="N25" s="135">
        <f t="shared" si="5"/>
        <v>0</v>
      </c>
      <c r="O25" s="136"/>
      <c r="P25" s="136"/>
      <c r="Q25" s="136"/>
      <c r="R25" s="136"/>
      <c r="S25" s="136"/>
      <c r="T25" s="150">
        <f t="shared" si="6"/>
        <v>0</v>
      </c>
      <c r="U25" s="135">
        <f t="shared" si="7"/>
        <v>0</v>
      </c>
      <c r="V25" s="135">
        <f t="shared" si="8"/>
        <v>0</v>
      </c>
      <c r="W25" s="135">
        <f t="shared" si="9"/>
        <v>0</v>
      </c>
      <c r="X25" s="135">
        <f t="shared" si="10"/>
        <v>0</v>
      </c>
      <c r="Y25" s="135">
        <f t="shared" si="11"/>
        <v>0</v>
      </c>
      <c r="Z25" s="86" t="s">
        <v>96</v>
      </c>
      <c r="AA25" s="86" t="s">
        <v>93</v>
      </c>
      <c r="AB25" s="86" t="s">
        <v>93</v>
      </c>
      <c r="AC25" s="86" t="s">
        <v>93</v>
      </c>
      <c r="AD25" s="86" t="s">
        <v>93</v>
      </c>
      <c r="AE25" s="86" t="s">
        <v>94</v>
      </c>
      <c r="AF25" s="86" t="s">
        <v>95</v>
      </c>
      <c r="AG25" s="126">
        <f t="shared" si="12"/>
        <v>0</v>
      </c>
      <c r="AH25" s="126">
        <f t="shared" si="14"/>
        <v>0</v>
      </c>
      <c r="AI25" s="126">
        <f t="shared" si="13"/>
        <v>0</v>
      </c>
      <c r="AJ25" s="127">
        <f t="shared" si="15"/>
        <v>0</v>
      </c>
      <c r="AK25" s="27"/>
    </row>
    <row r="26" spans="1:37" ht="15.95">
      <c r="A26" s="86">
        <v>22</v>
      </c>
      <c r="B26" s="231" t="s">
        <v>41</v>
      </c>
      <c r="C26" s="137" t="s">
        <v>90</v>
      </c>
      <c r="D26" s="136"/>
      <c r="E26" s="136"/>
      <c r="F26" s="136"/>
      <c r="G26" s="136"/>
      <c r="H26" s="136">
        <v>59164</v>
      </c>
      <c r="I26" s="134">
        <f t="shared" si="0"/>
        <v>0</v>
      </c>
      <c r="J26" s="134">
        <f t="shared" si="1"/>
        <v>0</v>
      </c>
      <c r="K26" s="134">
        <f t="shared" si="2"/>
        <v>0</v>
      </c>
      <c r="L26" s="134">
        <f t="shared" si="3"/>
        <v>0</v>
      </c>
      <c r="M26" s="134">
        <f t="shared" si="4"/>
        <v>1.828708742686252E-8</v>
      </c>
      <c r="N26" s="135">
        <f t="shared" si="5"/>
        <v>3.6574174853725041E-9</v>
      </c>
      <c r="O26" s="136">
        <v>39</v>
      </c>
      <c r="P26" s="136"/>
      <c r="Q26" s="136">
        <v>230584.95999999999</v>
      </c>
      <c r="R26" s="136"/>
      <c r="S26" s="136">
        <v>61221.3</v>
      </c>
      <c r="T26" s="150">
        <f t="shared" si="6"/>
        <v>4.0118803428150775E-9</v>
      </c>
      <c r="U26" s="135">
        <f t="shared" si="7"/>
        <v>0</v>
      </c>
      <c r="V26" s="135">
        <f t="shared" si="8"/>
        <v>1.6390885786935179E-5</v>
      </c>
      <c r="W26" s="135">
        <f t="shared" si="9"/>
        <v>0</v>
      </c>
      <c r="X26" s="135">
        <f t="shared" si="10"/>
        <v>5.3913051625385845E-6</v>
      </c>
      <c r="Y26" s="135">
        <f t="shared" si="11"/>
        <v>4.3572405659633162E-6</v>
      </c>
      <c r="Z26" s="136">
        <v>10000</v>
      </c>
      <c r="AA26" s="86"/>
      <c r="AB26" s="136">
        <v>10000</v>
      </c>
      <c r="AC26" s="86"/>
      <c r="AD26" s="136">
        <v>9925</v>
      </c>
      <c r="AE26" s="136">
        <v>9975</v>
      </c>
      <c r="AF26" s="86" t="s">
        <v>91</v>
      </c>
      <c r="AG26" s="126">
        <f t="shared" si="12"/>
        <v>40</v>
      </c>
      <c r="AH26" s="126">
        <f t="shared" si="14"/>
        <v>60</v>
      </c>
      <c r="AI26" s="126">
        <f t="shared" si="13"/>
        <v>30</v>
      </c>
      <c r="AJ26" s="127">
        <f t="shared" si="15"/>
        <v>46</v>
      </c>
      <c r="AK26" s="27"/>
    </row>
    <row r="27" spans="1:37" ht="15.95">
      <c r="A27" s="86">
        <v>23</v>
      </c>
      <c r="B27" s="231" t="s">
        <v>42</v>
      </c>
      <c r="C27" s="137" t="s">
        <v>90</v>
      </c>
      <c r="D27" s="136">
        <v>242536703108.98999</v>
      </c>
      <c r="E27" s="136">
        <v>465483097882</v>
      </c>
      <c r="F27" s="136">
        <v>486838452768</v>
      </c>
      <c r="G27" s="136">
        <v>240640744935.73999</v>
      </c>
      <c r="H27" s="136">
        <v>225399774603</v>
      </c>
      <c r="I27" s="134">
        <f t="shared" si="0"/>
        <v>9.3022232825343845E-2</v>
      </c>
      <c r="J27" s="134">
        <f t="shared" si="1"/>
        <v>5.7275349350971831E-2</v>
      </c>
      <c r="K27" s="134">
        <f t="shared" si="2"/>
        <v>6.6777992720403981E-2</v>
      </c>
      <c r="L27" s="134">
        <f t="shared" si="3"/>
        <v>5.7902813713443725E-2</v>
      </c>
      <c r="M27" s="134">
        <f t="shared" si="4"/>
        <v>6.9669146510718802E-2</v>
      </c>
      <c r="N27" s="135">
        <f t="shared" si="5"/>
        <v>6.892950702417644E-2</v>
      </c>
      <c r="O27" s="136">
        <v>528447599.42000002</v>
      </c>
      <c r="P27" s="136">
        <v>908437528.46000004</v>
      </c>
      <c r="Q27" s="136">
        <v>637336621.64999998</v>
      </c>
      <c r="R27" s="136">
        <v>542146628.58000004</v>
      </c>
      <c r="S27" s="136">
        <v>475478184.19</v>
      </c>
      <c r="T27" s="150">
        <f t="shared" si="6"/>
        <v>5.436073170053627E-2</v>
      </c>
      <c r="U27" s="135">
        <f t="shared" si="7"/>
        <v>5.4716959512502848E-2</v>
      </c>
      <c r="V27" s="135">
        <f t="shared" si="8"/>
        <v>4.5304393544558445E-2</v>
      </c>
      <c r="W27" s="135">
        <f t="shared" si="9"/>
        <v>4.3149743209758416E-2</v>
      </c>
      <c r="X27" s="135">
        <f t="shared" si="10"/>
        <v>4.187183201104875E-2</v>
      </c>
      <c r="Y27" s="135">
        <f t="shared" si="11"/>
        <v>4.788073199568095E-2</v>
      </c>
      <c r="Z27" s="86" t="s">
        <v>80</v>
      </c>
      <c r="AA27" s="86"/>
      <c r="AB27" s="86"/>
      <c r="AC27" s="86"/>
      <c r="AD27" s="136">
        <v>10000</v>
      </c>
      <c r="AE27" s="136">
        <v>10000</v>
      </c>
      <c r="AF27" s="86" t="s">
        <v>91</v>
      </c>
      <c r="AG27" s="126">
        <f t="shared" si="12"/>
        <v>100</v>
      </c>
      <c r="AH27" s="126">
        <f t="shared" si="14"/>
        <v>100</v>
      </c>
      <c r="AI27" s="126">
        <f t="shared" si="13"/>
        <v>30</v>
      </c>
      <c r="AJ27" s="127">
        <f t="shared" si="15"/>
        <v>86</v>
      </c>
      <c r="AK27" s="27"/>
    </row>
    <row r="28" spans="1:37" ht="15.95">
      <c r="A28" s="86">
        <v>24</v>
      </c>
      <c r="B28" s="231" t="s">
        <v>43</v>
      </c>
      <c r="C28" s="137" t="s">
        <v>90</v>
      </c>
      <c r="D28" s="136">
        <v>349066237610.78601</v>
      </c>
      <c r="E28" s="136">
        <v>367599127562.67902</v>
      </c>
      <c r="F28" s="136">
        <v>479206123679.90002</v>
      </c>
      <c r="G28" s="136">
        <v>506192321923.20599</v>
      </c>
      <c r="H28" s="136">
        <v>587993335432.62</v>
      </c>
      <c r="I28" s="134">
        <f t="shared" si="0"/>
        <v>0.13388044122915987</v>
      </c>
      <c r="J28" s="134">
        <f t="shared" si="1"/>
        <v>4.5231220098140235E-2</v>
      </c>
      <c r="K28" s="134">
        <f t="shared" si="2"/>
        <v>6.5731091816444875E-2</v>
      </c>
      <c r="L28" s="134">
        <f t="shared" si="3"/>
        <v>0.12179965503066316</v>
      </c>
      <c r="M28" s="134">
        <f t="shared" si="4"/>
        <v>0.18174372137564773</v>
      </c>
      <c r="N28" s="135">
        <f t="shared" si="5"/>
        <v>0.10967722591001117</v>
      </c>
      <c r="O28" s="136">
        <v>2997669163.5100002</v>
      </c>
      <c r="P28" s="136">
        <v>2812440632.5500002</v>
      </c>
      <c r="Q28" s="136">
        <v>3221994083.1799998</v>
      </c>
      <c r="R28" s="136">
        <v>3906666640.6599998</v>
      </c>
      <c r="S28" s="136">
        <v>4604408997.1700001</v>
      </c>
      <c r="T28" s="150">
        <f t="shared" si="6"/>
        <v>0.30836641003458171</v>
      </c>
      <c r="U28" s="135">
        <f t="shared" si="7"/>
        <v>0.16939877030777267</v>
      </c>
      <c r="V28" s="135">
        <f t="shared" si="8"/>
        <v>0.22903201068961435</v>
      </c>
      <c r="W28" s="135">
        <f t="shared" si="9"/>
        <v>0.31093370956144167</v>
      </c>
      <c r="X28" s="135">
        <f t="shared" si="10"/>
        <v>0.40547610058724215</v>
      </c>
      <c r="Y28" s="135">
        <f t="shared" si="11"/>
        <v>0.28464140023613049</v>
      </c>
      <c r="Z28" s="136">
        <v>3465</v>
      </c>
      <c r="AA28" s="136">
        <v>2009</v>
      </c>
      <c r="AB28" s="136">
        <v>2699</v>
      </c>
      <c r="AC28" s="136">
        <v>1885</v>
      </c>
      <c r="AD28" s="136">
        <v>1462</v>
      </c>
      <c r="AE28" s="136">
        <v>2304</v>
      </c>
      <c r="AF28" s="86" t="s">
        <v>98</v>
      </c>
      <c r="AG28" s="126">
        <f t="shared" si="12"/>
        <v>100</v>
      </c>
      <c r="AH28" s="126">
        <f t="shared" si="14"/>
        <v>100</v>
      </c>
      <c r="AI28" s="126">
        <f t="shared" si="13"/>
        <v>60</v>
      </c>
      <c r="AJ28" s="127">
        <f t="shared" si="15"/>
        <v>92</v>
      </c>
      <c r="AK28" s="27"/>
    </row>
    <row r="29" spans="1:37" ht="15.95">
      <c r="A29" s="86">
        <v>25</v>
      </c>
      <c r="B29" s="231" t="s">
        <v>44</v>
      </c>
      <c r="C29" s="137" t="s">
        <v>90</v>
      </c>
      <c r="D29" s="136">
        <v>2158830742.6213999</v>
      </c>
      <c r="E29" s="136">
        <v>2689769772.9422002</v>
      </c>
      <c r="F29" s="136">
        <v>4590576716.0626001</v>
      </c>
      <c r="G29" s="136">
        <v>5756392380.2688999</v>
      </c>
      <c r="H29" s="136">
        <v>7726071419.79</v>
      </c>
      <c r="I29" s="134">
        <f t="shared" si="0"/>
        <v>8.2799532357951875E-4</v>
      </c>
      <c r="J29" s="134">
        <f t="shared" si="1"/>
        <v>3.3096261522690622E-4</v>
      </c>
      <c r="K29" s="134">
        <f t="shared" si="2"/>
        <v>6.2967396429913617E-4</v>
      </c>
      <c r="L29" s="134">
        <f t="shared" si="3"/>
        <v>1.3850992513558065E-3</v>
      </c>
      <c r="M29" s="134">
        <f t="shared" si="4"/>
        <v>2.3880627327409164E-3</v>
      </c>
      <c r="N29" s="135">
        <f t="shared" si="5"/>
        <v>1.1123587774404568E-3</v>
      </c>
      <c r="O29" s="136"/>
      <c r="P29" s="136"/>
      <c r="Q29" s="136">
        <v>3828128.28</v>
      </c>
      <c r="R29" s="136">
        <v>2125554.27</v>
      </c>
      <c r="S29" s="136">
        <v>2527111.04</v>
      </c>
      <c r="T29" s="150">
        <f t="shared" si="6"/>
        <v>0</v>
      </c>
      <c r="U29" s="135">
        <f t="shared" si="7"/>
        <v>0</v>
      </c>
      <c r="V29" s="135">
        <f t="shared" si="8"/>
        <v>2.7211841316630804E-4</v>
      </c>
      <c r="W29" s="135">
        <f t="shared" si="9"/>
        <v>1.6917401325381768E-4</v>
      </c>
      <c r="X29" s="135">
        <f t="shared" si="10"/>
        <v>2.2254389887604888E-4</v>
      </c>
      <c r="Y29" s="135">
        <f t="shared" si="11"/>
        <v>1.3276726505923492E-4</v>
      </c>
      <c r="Z29" s="86" t="s">
        <v>80</v>
      </c>
      <c r="AA29" s="86"/>
      <c r="AB29" s="136">
        <v>3105</v>
      </c>
      <c r="AC29" s="136">
        <v>7653</v>
      </c>
      <c r="AD29" s="136">
        <v>2936</v>
      </c>
      <c r="AE29" s="136">
        <v>4565</v>
      </c>
      <c r="AF29" s="86" t="s">
        <v>91</v>
      </c>
      <c r="AG29" s="126">
        <f t="shared" si="12"/>
        <v>100</v>
      </c>
      <c r="AH29" s="126">
        <f t="shared" si="14"/>
        <v>80</v>
      </c>
      <c r="AI29" s="126">
        <f t="shared" si="13"/>
        <v>30</v>
      </c>
      <c r="AJ29" s="127">
        <f t="shared" si="15"/>
        <v>78</v>
      </c>
      <c r="AK29" s="27"/>
    </row>
    <row r="30" spans="1:37" ht="15.95">
      <c r="A30" s="86">
        <v>26</v>
      </c>
      <c r="B30" s="231" t="s">
        <v>45</v>
      </c>
      <c r="C30" s="137" t="s">
        <v>90</v>
      </c>
      <c r="D30" s="136">
        <v>13</v>
      </c>
      <c r="E30" s="136">
        <v>12</v>
      </c>
      <c r="F30" s="136">
        <v>222505711.06999999</v>
      </c>
      <c r="G30" s="136">
        <v>216009030.53999999</v>
      </c>
      <c r="H30" s="136">
        <v>212323639.46000001</v>
      </c>
      <c r="I30" s="134">
        <f t="shared" si="0"/>
        <v>4.9860042262801169E-12</v>
      </c>
      <c r="J30" s="134">
        <f t="shared" si="1"/>
        <v>1.4765395249343589E-12</v>
      </c>
      <c r="K30" s="134">
        <f t="shared" si="2"/>
        <v>3.052035982285379E-5</v>
      </c>
      <c r="L30" s="134">
        <f t="shared" si="3"/>
        <v>5.1975947211762377E-5</v>
      </c>
      <c r="M30" s="134">
        <f t="shared" si="4"/>
        <v>6.5627424744686919E-5</v>
      </c>
      <c r="N30" s="135">
        <f t="shared" si="5"/>
        <v>2.9624747648369369E-5</v>
      </c>
      <c r="O30" s="136"/>
      <c r="P30" s="136"/>
      <c r="Q30" s="136"/>
      <c r="R30" s="136"/>
      <c r="S30" s="136"/>
      <c r="T30" s="150">
        <f t="shared" si="6"/>
        <v>0</v>
      </c>
      <c r="U30" s="135">
        <f t="shared" si="7"/>
        <v>0</v>
      </c>
      <c r="V30" s="135">
        <f t="shared" si="8"/>
        <v>0</v>
      </c>
      <c r="W30" s="135">
        <f t="shared" si="9"/>
        <v>0</v>
      </c>
      <c r="X30" s="135">
        <f t="shared" si="10"/>
        <v>0</v>
      </c>
      <c r="Y30" s="135">
        <f t="shared" si="11"/>
        <v>0</v>
      </c>
      <c r="Z30" s="86" t="s">
        <v>96</v>
      </c>
      <c r="AA30" s="86" t="s">
        <v>93</v>
      </c>
      <c r="AB30" s="86" t="s">
        <v>93</v>
      </c>
      <c r="AC30" s="86" t="s">
        <v>93</v>
      </c>
      <c r="AD30" s="86" t="s">
        <v>93</v>
      </c>
      <c r="AE30" s="86" t="s">
        <v>94</v>
      </c>
      <c r="AF30" s="86" t="s">
        <v>95</v>
      </c>
      <c r="AG30" s="126">
        <f t="shared" si="12"/>
        <v>60</v>
      </c>
      <c r="AH30" s="126">
        <f t="shared" si="14"/>
        <v>0</v>
      </c>
      <c r="AI30" s="126">
        <f t="shared" si="13"/>
        <v>0</v>
      </c>
      <c r="AJ30" s="127">
        <f t="shared" si="15"/>
        <v>24</v>
      </c>
      <c r="AK30" s="27"/>
    </row>
    <row r="31" spans="1:37" ht="15.95">
      <c r="A31" s="86">
        <v>27</v>
      </c>
      <c r="B31" s="231" t="s">
        <v>46</v>
      </c>
      <c r="C31" s="137" t="s">
        <v>90</v>
      </c>
      <c r="D31" s="136"/>
      <c r="E31" s="136"/>
      <c r="F31" s="136"/>
      <c r="G31" s="136"/>
      <c r="H31" s="136"/>
      <c r="I31" s="134">
        <f t="shared" si="0"/>
        <v>0</v>
      </c>
      <c r="J31" s="134">
        <f t="shared" si="1"/>
        <v>0</v>
      </c>
      <c r="K31" s="134">
        <f t="shared" si="2"/>
        <v>0</v>
      </c>
      <c r="L31" s="134">
        <f t="shared" si="3"/>
        <v>0</v>
      </c>
      <c r="M31" s="134">
        <f t="shared" si="4"/>
        <v>0</v>
      </c>
      <c r="N31" s="135">
        <f t="shared" si="5"/>
        <v>0</v>
      </c>
      <c r="O31" s="136"/>
      <c r="P31" s="136"/>
      <c r="Q31" s="136"/>
      <c r="R31" s="136"/>
      <c r="S31" s="136"/>
      <c r="T31" s="150">
        <f t="shared" si="6"/>
        <v>0</v>
      </c>
      <c r="U31" s="135">
        <f t="shared" si="7"/>
        <v>0</v>
      </c>
      <c r="V31" s="135">
        <f t="shared" si="8"/>
        <v>0</v>
      </c>
      <c r="W31" s="135">
        <f t="shared" si="9"/>
        <v>0</v>
      </c>
      <c r="X31" s="135">
        <f t="shared" si="10"/>
        <v>0</v>
      </c>
      <c r="Y31" s="135">
        <f t="shared" si="11"/>
        <v>0</v>
      </c>
      <c r="Z31" s="136"/>
      <c r="AA31" s="136"/>
      <c r="AB31" s="136"/>
      <c r="AC31" s="136"/>
      <c r="AD31" s="136"/>
      <c r="AE31" s="136"/>
      <c r="AF31" s="86" t="s">
        <v>95</v>
      </c>
      <c r="AG31" s="126">
        <f t="shared" si="12"/>
        <v>0</v>
      </c>
      <c r="AH31" s="126">
        <f t="shared" si="14"/>
        <v>0</v>
      </c>
      <c r="AI31" s="126">
        <f t="shared" si="13"/>
        <v>0</v>
      </c>
      <c r="AJ31" s="127">
        <f t="shared" si="15"/>
        <v>0</v>
      </c>
      <c r="AK31" s="27"/>
    </row>
    <row r="32" spans="1:37" ht="15.95">
      <c r="A32" s="86">
        <v>28</v>
      </c>
      <c r="B32" s="231" t="s">
        <v>47</v>
      </c>
      <c r="C32" s="137" t="s">
        <v>90</v>
      </c>
      <c r="D32" s="136">
        <v>231198399</v>
      </c>
      <c r="E32" s="136">
        <v>310855119</v>
      </c>
      <c r="F32" s="136">
        <v>292588552</v>
      </c>
      <c r="G32" s="136">
        <v>306194740</v>
      </c>
      <c r="H32" s="136">
        <v>362146630</v>
      </c>
      <c r="I32" s="134">
        <f t="shared" si="0"/>
        <v>8.8673553424861286E-5</v>
      </c>
      <c r="J32" s="134">
        <f t="shared" si="1"/>
        <v>3.82491558109728E-5</v>
      </c>
      <c r="K32" s="134">
        <f t="shared" si="2"/>
        <v>4.0133387337093697E-5</v>
      </c>
      <c r="L32" s="134">
        <f t="shared" si="3"/>
        <v>7.3676371783966925E-5</v>
      </c>
      <c r="M32" s="134">
        <f t="shared" si="4"/>
        <v>1.1193643236011144E-4</v>
      </c>
      <c r="N32" s="135">
        <f t="shared" si="5"/>
        <v>7.0533780143401225E-5</v>
      </c>
      <c r="O32" s="136">
        <v>39848.5</v>
      </c>
      <c r="P32" s="136">
        <v>31051.5</v>
      </c>
      <c r="Q32" s="136"/>
      <c r="R32" s="136">
        <v>6362</v>
      </c>
      <c r="S32" s="136">
        <v>2332.16</v>
      </c>
      <c r="T32" s="150">
        <f t="shared" si="6"/>
        <v>4.0991644574529905E-6</v>
      </c>
      <c r="U32" s="135">
        <f t="shared" si="7"/>
        <v>1.8702922491354271E-6</v>
      </c>
      <c r="V32" s="135">
        <f t="shared" si="8"/>
        <v>0</v>
      </c>
      <c r="W32" s="135">
        <f t="shared" si="9"/>
        <v>5.063550187880115E-7</v>
      </c>
      <c r="X32" s="135">
        <f t="shared" si="10"/>
        <v>2.0537600880520315E-7</v>
      </c>
      <c r="Y32" s="135">
        <f t="shared" si="11"/>
        <v>1.3362375468363265E-6</v>
      </c>
      <c r="Z32" s="136">
        <v>6646</v>
      </c>
      <c r="AA32" s="136">
        <v>7094</v>
      </c>
      <c r="AB32" s="86"/>
      <c r="AC32" s="136">
        <v>10000</v>
      </c>
      <c r="AD32" s="136">
        <v>10000</v>
      </c>
      <c r="AE32" s="136">
        <v>8435</v>
      </c>
      <c r="AF32" s="86" t="s">
        <v>91</v>
      </c>
      <c r="AG32" s="126">
        <f t="shared" si="12"/>
        <v>80</v>
      </c>
      <c r="AH32" s="126">
        <f t="shared" si="14"/>
        <v>40</v>
      </c>
      <c r="AI32" s="126">
        <f t="shared" si="13"/>
        <v>30</v>
      </c>
      <c r="AJ32" s="127">
        <f t="shared" si="15"/>
        <v>54</v>
      </c>
      <c r="AK32" s="27"/>
    </row>
    <row r="33" spans="1:37" ht="15.95">
      <c r="A33" s="86">
        <v>29</v>
      </c>
      <c r="B33" s="231" t="s">
        <v>48</v>
      </c>
      <c r="C33" s="137" t="s">
        <v>90</v>
      </c>
      <c r="D33" s="136"/>
      <c r="E33" s="136"/>
      <c r="F33" s="136"/>
      <c r="G33" s="136"/>
      <c r="H33" s="136"/>
      <c r="I33" s="134">
        <f t="shared" si="0"/>
        <v>0</v>
      </c>
      <c r="J33" s="134">
        <f t="shared" si="1"/>
        <v>0</v>
      </c>
      <c r="K33" s="134">
        <f t="shared" si="2"/>
        <v>0</v>
      </c>
      <c r="L33" s="134">
        <f t="shared" si="3"/>
        <v>0</v>
      </c>
      <c r="M33" s="134">
        <f t="shared" si="4"/>
        <v>0</v>
      </c>
      <c r="N33" s="135">
        <f t="shared" si="5"/>
        <v>0</v>
      </c>
      <c r="O33" s="136"/>
      <c r="P33" s="136"/>
      <c r="Q33" s="136"/>
      <c r="R33" s="136"/>
      <c r="S33" s="136"/>
      <c r="T33" s="150">
        <f t="shared" si="6"/>
        <v>0</v>
      </c>
      <c r="U33" s="135">
        <f t="shared" si="7"/>
        <v>0</v>
      </c>
      <c r="V33" s="135">
        <f t="shared" si="8"/>
        <v>0</v>
      </c>
      <c r="W33" s="135">
        <f t="shared" si="9"/>
        <v>0</v>
      </c>
      <c r="X33" s="135">
        <f t="shared" si="10"/>
        <v>0</v>
      </c>
      <c r="Y33" s="135">
        <f t="shared" si="11"/>
        <v>0</v>
      </c>
      <c r="Z33" s="136">
        <v>7008</v>
      </c>
      <c r="AA33" s="136">
        <v>6898</v>
      </c>
      <c r="AB33" s="136">
        <v>7106</v>
      </c>
      <c r="AC33" s="136">
        <v>2219</v>
      </c>
      <c r="AD33" s="136">
        <v>2046</v>
      </c>
      <c r="AE33" s="136">
        <v>5055</v>
      </c>
      <c r="AF33" s="86" t="s">
        <v>91</v>
      </c>
      <c r="AG33" s="126">
        <f t="shared" si="12"/>
        <v>0</v>
      </c>
      <c r="AH33" s="126">
        <f t="shared" si="14"/>
        <v>0</v>
      </c>
      <c r="AI33" s="126">
        <f t="shared" si="13"/>
        <v>30</v>
      </c>
      <c r="AJ33" s="127">
        <f t="shared" si="15"/>
        <v>6</v>
      </c>
      <c r="AK33" s="27"/>
    </row>
    <row r="34" spans="1:37" ht="15.95">
      <c r="A34" s="86">
        <v>30</v>
      </c>
      <c r="B34" s="231" t="s">
        <v>49</v>
      </c>
      <c r="C34" s="137" t="s">
        <v>90</v>
      </c>
      <c r="D34" s="136"/>
      <c r="E34" s="136"/>
      <c r="F34" s="136">
        <v>1100</v>
      </c>
      <c r="G34" s="136">
        <v>37375340.619999997</v>
      </c>
      <c r="H34" s="136">
        <v>551747.34</v>
      </c>
      <c r="I34" s="134">
        <f t="shared" si="0"/>
        <v>0</v>
      </c>
      <c r="J34" s="134">
        <f t="shared" si="1"/>
        <v>0</v>
      </c>
      <c r="K34" s="134">
        <f t="shared" si="2"/>
        <v>1.5088329932608938E-10</v>
      </c>
      <c r="L34" s="134">
        <f t="shared" si="3"/>
        <v>8.9932292470847825E-6</v>
      </c>
      <c r="M34" s="134">
        <f t="shared" si="4"/>
        <v>1.7054039355214048E-7</v>
      </c>
      <c r="N34" s="135">
        <f t="shared" si="5"/>
        <v>1.8327841047872496E-6</v>
      </c>
      <c r="O34" s="136">
        <v>49028</v>
      </c>
      <c r="P34" s="136">
        <v>64350</v>
      </c>
      <c r="Q34" s="136">
        <v>61296.69</v>
      </c>
      <c r="R34" s="136"/>
      <c r="S34" s="136">
        <v>42108</v>
      </c>
      <c r="T34" s="150">
        <f t="shared" si="6"/>
        <v>5.0434479345522472E-6</v>
      </c>
      <c r="U34" s="135">
        <f t="shared" si="7"/>
        <v>3.875925679334806E-6</v>
      </c>
      <c r="V34" s="135">
        <f t="shared" si="8"/>
        <v>4.3572097889956558E-6</v>
      </c>
      <c r="W34" s="135">
        <f t="shared" si="9"/>
        <v>0</v>
      </c>
      <c r="X34" s="135">
        <f t="shared" si="10"/>
        <v>3.7081387978395542E-6</v>
      </c>
      <c r="Y34" s="135">
        <f t="shared" si="11"/>
        <v>3.3969444401444525E-6</v>
      </c>
      <c r="Z34" s="136">
        <v>9022</v>
      </c>
      <c r="AA34" s="136">
        <v>10000</v>
      </c>
      <c r="AB34" s="136">
        <v>6439</v>
      </c>
      <c r="AC34" s="86"/>
      <c r="AD34" s="136">
        <v>8955</v>
      </c>
      <c r="AE34" s="136">
        <v>8604</v>
      </c>
      <c r="AF34" s="86" t="s">
        <v>91</v>
      </c>
      <c r="AG34" s="126">
        <f t="shared" si="12"/>
        <v>40</v>
      </c>
      <c r="AH34" s="126">
        <f t="shared" si="14"/>
        <v>60</v>
      </c>
      <c r="AI34" s="126">
        <f t="shared" si="13"/>
        <v>30</v>
      </c>
      <c r="AJ34" s="127">
        <f t="shared" si="15"/>
        <v>46</v>
      </c>
      <c r="AK34" s="27"/>
    </row>
    <row r="35" spans="1:37" ht="15.95">
      <c r="A35" s="86">
        <v>31</v>
      </c>
      <c r="B35" s="231" t="s">
        <v>50</v>
      </c>
      <c r="C35" s="137" t="s">
        <v>90</v>
      </c>
      <c r="D35" s="136"/>
      <c r="E35" s="136"/>
      <c r="F35" s="136"/>
      <c r="G35" s="136"/>
      <c r="H35" s="136"/>
      <c r="I35" s="134">
        <f t="shared" si="0"/>
        <v>0</v>
      </c>
      <c r="J35" s="134">
        <f t="shared" si="1"/>
        <v>0</v>
      </c>
      <c r="K35" s="134">
        <f t="shared" si="2"/>
        <v>0</v>
      </c>
      <c r="L35" s="134">
        <f t="shared" si="3"/>
        <v>0</v>
      </c>
      <c r="M35" s="134">
        <f t="shared" si="4"/>
        <v>0</v>
      </c>
      <c r="N35" s="135">
        <f t="shared" si="5"/>
        <v>0</v>
      </c>
      <c r="O35" s="136"/>
      <c r="P35" s="136"/>
      <c r="Q35" s="136"/>
      <c r="R35" s="136"/>
      <c r="S35" s="136"/>
      <c r="T35" s="150">
        <f t="shared" si="6"/>
        <v>0</v>
      </c>
      <c r="U35" s="135">
        <f t="shared" si="7"/>
        <v>0</v>
      </c>
      <c r="V35" s="135">
        <f t="shared" si="8"/>
        <v>0</v>
      </c>
      <c r="W35" s="135">
        <f t="shared" si="9"/>
        <v>0</v>
      </c>
      <c r="X35" s="135">
        <f t="shared" si="10"/>
        <v>0</v>
      </c>
      <c r="Y35" s="135">
        <f t="shared" si="11"/>
        <v>0</v>
      </c>
      <c r="Z35" s="86" t="s">
        <v>80</v>
      </c>
      <c r="AA35" s="86" t="s">
        <v>93</v>
      </c>
      <c r="AB35" s="86" t="s">
        <v>93</v>
      </c>
      <c r="AC35" s="86" t="s">
        <v>93</v>
      </c>
      <c r="AD35" s="86" t="s">
        <v>93</v>
      </c>
      <c r="AE35" s="86" t="s">
        <v>94</v>
      </c>
      <c r="AF35" s="86" t="s">
        <v>95</v>
      </c>
      <c r="AG35" s="126">
        <f t="shared" si="12"/>
        <v>0</v>
      </c>
      <c r="AH35" s="126">
        <f t="shared" si="14"/>
        <v>0</v>
      </c>
      <c r="AI35" s="126">
        <f t="shared" si="13"/>
        <v>0</v>
      </c>
      <c r="AJ35" s="127">
        <f t="shared" si="15"/>
        <v>0</v>
      </c>
      <c r="AK35" s="27"/>
    </row>
    <row r="36" spans="1:37" ht="15.95">
      <c r="A36" s="86">
        <v>32</v>
      </c>
      <c r="B36" s="231" t="s">
        <v>51</v>
      </c>
      <c r="C36" s="137" t="s">
        <v>90</v>
      </c>
      <c r="D36" s="136"/>
      <c r="E36" s="136"/>
      <c r="F36" s="136"/>
      <c r="G36" s="136"/>
      <c r="H36" s="136"/>
      <c r="I36" s="134">
        <f t="shared" si="0"/>
        <v>0</v>
      </c>
      <c r="J36" s="134">
        <f t="shared" si="1"/>
        <v>0</v>
      </c>
      <c r="K36" s="134">
        <f t="shared" si="2"/>
        <v>0</v>
      </c>
      <c r="L36" s="134">
        <f t="shared" si="3"/>
        <v>0</v>
      </c>
      <c r="M36" s="134">
        <f t="shared" si="4"/>
        <v>0</v>
      </c>
      <c r="N36" s="135">
        <f t="shared" si="5"/>
        <v>0</v>
      </c>
      <c r="O36" s="136"/>
      <c r="P36" s="136"/>
      <c r="Q36" s="136">
        <v>20882.48</v>
      </c>
      <c r="R36" s="136"/>
      <c r="S36" s="136"/>
      <c r="T36" s="150">
        <f t="shared" si="6"/>
        <v>0</v>
      </c>
      <c r="U36" s="135">
        <f t="shared" si="7"/>
        <v>0</v>
      </c>
      <c r="V36" s="135">
        <f t="shared" si="8"/>
        <v>1.4844088037136426E-6</v>
      </c>
      <c r="W36" s="135">
        <f t="shared" si="9"/>
        <v>0</v>
      </c>
      <c r="X36" s="135">
        <f t="shared" si="10"/>
        <v>0</v>
      </c>
      <c r="Y36" s="135">
        <f t="shared" si="11"/>
        <v>2.9688176074272854E-7</v>
      </c>
      <c r="Z36" s="86" t="s">
        <v>80</v>
      </c>
      <c r="AA36" s="86"/>
      <c r="AB36" s="136">
        <v>10000</v>
      </c>
      <c r="AC36" s="86"/>
      <c r="AD36" s="86"/>
      <c r="AE36" s="136">
        <v>10000</v>
      </c>
      <c r="AF36" s="86" t="s">
        <v>91</v>
      </c>
      <c r="AG36" s="126">
        <f t="shared" si="12"/>
        <v>0</v>
      </c>
      <c r="AH36" s="126">
        <f t="shared" si="14"/>
        <v>40</v>
      </c>
      <c r="AI36" s="126">
        <f t="shared" si="13"/>
        <v>30</v>
      </c>
      <c r="AJ36" s="127">
        <f t="shared" si="15"/>
        <v>22</v>
      </c>
      <c r="AK36" s="27"/>
    </row>
    <row r="37" spans="1:37" ht="15.95">
      <c r="A37" s="11">
        <v>33</v>
      </c>
      <c r="B37" s="231" t="s">
        <v>52</v>
      </c>
      <c r="C37" s="137" t="s">
        <v>90</v>
      </c>
      <c r="D37" s="136">
        <v>1246109216</v>
      </c>
      <c r="E37" s="136">
        <v>1566085731</v>
      </c>
      <c r="F37" s="136">
        <v>1581855144</v>
      </c>
      <c r="G37" s="136">
        <v>817278423</v>
      </c>
      <c r="H37" s="136">
        <v>661085267</v>
      </c>
      <c r="I37" s="134">
        <f t="shared" si="0"/>
        <v>4.7793121672173872E-4</v>
      </c>
      <c r="J37" s="134">
        <f t="shared" si="1"/>
        <v>1.9269895677143483E-4</v>
      </c>
      <c r="K37" s="134">
        <f t="shared" si="2"/>
        <v>2.1697774834787841E-4</v>
      </c>
      <c r="L37" s="134">
        <f t="shared" si="3"/>
        <v>1.9665298281728219E-4</v>
      </c>
      <c r="M37" s="134">
        <f t="shared" si="4"/>
        <v>2.043358135731146E-4</v>
      </c>
      <c r="N37" s="135">
        <f t="shared" si="5"/>
        <v>2.5771934364628976E-4</v>
      </c>
      <c r="O37" s="136">
        <v>1244102.19</v>
      </c>
      <c r="P37" s="136">
        <v>1485994.07</v>
      </c>
      <c r="Q37" s="136">
        <v>1276425.3600000001</v>
      </c>
      <c r="R37" s="136">
        <v>1812909.18</v>
      </c>
      <c r="S37" s="136">
        <v>1760768.92</v>
      </c>
      <c r="T37" s="150">
        <f t="shared" si="6"/>
        <v>1.2797920821831254E-4</v>
      </c>
      <c r="U37" s="135">
        <f t="shared" si="7"/>
        <v>8.9504313523733399E-5</v>
      </c>
      <c r="V37" s="135">
        <f t="shared" si="8"/>
        <v>9.0733334434768074E-5</v>
      </c>
      <c r="W37" s="135">
        <f t="shared" si="9"/>
        <v>1.4429042154980487E-4</v>
      </c>
      <c r="X37" s="135">
        <f t="shared" si="10"/>
        <v>1.550578404645685E-4</v>
      </c>
      <c r="Y37" s="135">
        <f t="shared" si="11"/>
        <v>1.2151302363823746E-4</v>
      </c>
      <c r="Z37" s="136">
        <v>9918</v>
      </c>
      <c r="AA37" s="136">
        <v>9998</v>
      </c>
      <c r="AB37" s="136">
        <v>9799</v>
      </c>
      <c r="AC37" s="136">
        <v>9588</v>
      </c>
      <c r="AD37" s="136">
        <v>9754</v>
      </c>
      <c r="AE37" s="136">
        <v>9812</v>
      </c>
      <c r="AF37" s="86" t="s">
        <v>91</v>
      </c>
      <c r="AG37" s="126">
        <f t="shared" si="12"/>
        <v>80</v>
      </c>
      <c r="AH37" s="126">
        <f t="shared" si="14"/>
        <v>80</v>
      </c>
      <c r="AI37" s="126">
        <f t="shared" si="13"/>
        <v>30</v>
      </c>
      <c r="AJ37" s="127">
        <f t="shared" si="15"/>
        <v>70</v>
      </c>
      <c r="AK37" s="27"/>
    </row>
    <row r="38" spans="1:37" ht="15.95">
      <c r="A38" s="86">
        <v>34</v>
      </c>
      <c r="B38" s="231" t="s">
        <v>53</v>
      </c>
      <c r="C38" s="137" t="s">
        <v>90</v>
      </c>
      <c r="D38" s="136"/>
      <c r="E38" s="136"/>
      <c r="F38" s="136"/>
      <c r="G38" s="136"/>
      <c r="H38" s="136"/>
      <c r="I38" s="134">
        <f t="shared" si="0"/>
        <v>0</v>
      </c>
      <c r="J38" s="134">
        <f t="shared" si="1"/>
        <v>0</v>
      </c>
      <c r="K38" s="134">
        <f t="shared" si="2"/>
        <v>0</v>
      </c>
      <c r="L38" s="134">
        <f t="shared" si="3"/>
        <v>0</v>
      </c>
      <c r="M38" s="134">
        <f t="shared" si="4"/>
        <v>0</v>
      </c>
      <c r="N38" s="135">
        <f t="shared" si="5"/>
        <v>0</v>
      </c>
      <c r="O38" s="136"/>
      <c r="P38" s="136"/>
      <c r="Q38" s="136"/>
      <c r="R38" s="136"/>
      <c r="S38" s="136"/>
      <c r="T38" s="150">
        <f t="shared" si="6"/>
        <v>0</v>
      </c>
      <c r="U38" s="135">
        <f t="shared" si="7"/>
        <v>0</v>
      </c>
      <c r="V38" s="135">
        <f t="shared" si="8"/>
        <v>0</v>
      </c>
      <c r="W38" s="135">
        <f t="shared" si="9"/>
        <v>0</v>
      </c>
      <c r="X38" s="135">
        <f t="shared" si="10"/>
        <v>0</v>
      </c>
      <c r="Y38" s="135">
        <f t="shared" si="11"/>
        <v>0</v>
      </c>
      <c r="Z38" s="86" t="s">
        <v>80</v>
      </c>
      <c r="AA38" s="86" t="s">
        <v>93</v>
      </c>
      <c r="AB38" s="86" t="s">
        <v>93</v>
      </c>
      <c r="AC38" s="86" t="s">
        <v>93</v>
      </c>
      <c r="AD38" s="86" t="s">
        <v>93</v>
      </c>
      <c r="AE38" s="86" t="s">
        <v>94</v>
      </c>
      <c r="AF38" s="86" t="s">
        <v>95</v>
      </c>
      <c r="AG38" s="126">
        <f t="shared" si="12"/>
        <v>0</v>
      </c>
      <c r="AH38" s="126">
        <f t="shared" si="14"/>
        <v>0</v>
      </c>
      <c r="AI38" s="126">
        <f t="shared" si="13"/>
        <v>0</v>
      </c>
      <c r="AJ38" s="127">
        <f>+(AG38*$AG$4)+(AH38*$AH$4)+(AI38*$AI$4)</f>
        <v>0</v>
      </c>
      <c r="AK38" s="27"/>
    </row>
    <row r="39" spans="1:37" ht="15.95">
      <c r="A39" s="86">
        <v>35</v>
      </c>
      <c r="B39" s="137" t="s">
        <v>54</v>
      </c>
      <c r="C39" s="137" t="s">
        <v>90</v>
      </c>
      <c r="D39" s="136"/>
      <c r="E39" s="136">
        <v>18387537</v>
      </c>
      <c r="F39" s="136">
        <v>362120770.62</v>
      </c>
      <c r="G39" s="136">
        <v>262362858.94999999</v>
      </c>
      <c r="H39" s="136">
        <v>343925401.86000001</v>
      </c>
      <c r="I39" s="134">
        <f t="shared" si="0"/>
        <v>0</v>
      </c>
      <c r="J39" s="134">
        <f t="shared" si="1"/>
        <v>2.262493762224412E-6</v>
      </c>
      <c r="K39" s="134">
        <f t="shared" si="2"/>
        <v>4.9670887841501473E-5</v>
      </c>
      <c r="L39" s="134">
        <f t="shared" si="3"/>
        <v>6.312957413411045E-5</v>
      </c>
      <c r="M39" s="134">
        <f t="shared" si="4"/>
        <v>1.0630440626280586E-4</v>
      </c>
      <c r="N39" s="135">
        <f t="shared" si="5"/>
        <v>4.4273472400128443E-5</v>
      </c>
      <c r="O39" s="136">
        <v>83155.520000000004</v>
      </c>
      <c r="P39" s="136">
        <v>3907082.43</v>
      </c>
      <c r="Q39" s="136">
        <v>3410962.19</v>
      </c>
      <c r="R39" s="136">
        <v>1175695.48</v>
      </c>
      <c r="S39" s="136">
        <v>1282103.8500000001</v>
      </c>
      <c r="T39" s="150">
        <f t="shared" si="6"/>
        <v>8.554102463706822E-6</v>
      </c>
      <c r="U39" s="135">
        <f t="shared" si="7"/>
        <v>2.3533117516262372E-4</v>
      </c>
      <c r="V39" s="135">
        <f t="shared" si="8"/>
        <v>2.4246460688435312E-4</v>
      </c>
      <c r="W39" s="135">
        <f t="shared" si="9"/>
        <v>9.3574238740078632E-5</v>
      </c>
      <c r="X39" s="135">
        <f t="shared" si="10"/>
        <v>1.1290536309120511E-4</v>
      </c>
      <c r="Y39" s="135">
        <f t="shared" si="11"/>
        <v>1.3856589726839348E-4</v>
      </c>
      <c r="Z39" s="136">
        <v>10000</v>
      </c>
      <c r="AA39" s="136">
        <v>10000</v>
      </c>
      <c r="AB39" s="136">
        <v>4117</v>
      </c>
      <c r="AC39" s="136">
        <v>8622</v>
      </c>
      <c r="AD39" s="136">
        <v>7899</v>
      </c>
      <c r="AE39" s="136">
        <v>8128</v>
      </c>
      <c r="AF39" s="86" t="s">
        <v>91</v>
      </c>
      <c r="AG39" s="126">
        <f t="shared" si="12"/>
        <v>60</v>
      </c>
      <c r="AH39" s="126">
        <f>IF(Y39=0,$H$57,IF(Y39&lt;=$G$46,$H$52,IF(Y39&lt;=$G$47,$H$53,IF(Y39&lt;=$G$48,$H$54,IF(Y39&lt;=$G$49,$H$55,$H$56)))))</f>
        <v>80</v>
      </c>
      <c r="AI39" s="126">
        <f t="shared" si="13"/>
        <v>30</v>
      </c>
      <c r="AJ39" s="127">
        <f t="shared" si="15"/>
        <v>62</v>
      </c>
      <c r="AK39" s="27"/>
    </row>
    <row r="41" spans="1:37" ht="14.45">
      <c r="B41" s="140" t="s">
        <v>99</v>
      </c>
      <c r="D41" s="107">
        <v>2607298231212.8613</v>
      </c>
      <c r="E41" s="107">
        <v>8127110583466.0762</v>
      </c>
      <c r="F41" s="107">
        <v>7290402615220.3701</v>
      </c>
      <c r="G41" s="107">
        <v>4155942164169.2803</v>
      </c>
      <c r="H41" s="107">
        <v>3235288300371.5508</v>
      </c>
      <c r="I41" s="107"/>
      <c r="J41" s="107"/>
      <c r="K41" s="107"/>
      <c r="L41" s="107"/>
      <c r="M41" s="107"/>
      <c r="N41" s="107" t="s">
        <v>100</v>
      </c>
      <c r="O41" s="107">
        <v>9721127418.4300003</v>
      </c>
      <c r="P41" s="107">
        <v>16602485528.320004</v>
      </c>
      <c r="Q41" s="107">
        <v>14067876684.48</v>
      </c>
      <c r="R41" s="107">
        <v>12564307183.580002</v>
      </c>
      <c r="S41" s="107">
        <v>11355561993.669998</v>
      </c>
    </row>
    <row r="42" spans="1:37" ht="14.45"/>
    <row r="43" spans="1:37" ht="14.45" customHeight="1">
      <c r="B43" s="270" t="s">
        <v>101</v>
      </c>
      <c r="C43" s="270"/>
      <c r="D43" s="270"/>
      <c r="E43" s="27"/>
      <c r="F43" s="270" t="s">
        <v>102</v>
      </c>
      <c r="G43" s="270"/>
      <c r="H43" s="270"/>
      <c r="I43" s="27"/>
      <c r="J43" s="270" t="s">
        <v>103</v>
      </c>
      <c r="K43" s="270"/>
      <c r="L43" s="270"/>
    </row>
    <row r="44" spans="1:37" ht="14.45">
      <c r="B44" s="138"/>
      <c r="C44" s="138"/>
      <c r="D44" s="27"/>
      <c r="E44" s="27"/>
      <c r="F44" s="27"/>
      <c r="G44" s="27"/>
      <c r="H44" s="27"/>
      <c r="I44" s="27"/>
      <c r="J44" s="27"/>
      <c r="K44" s="27"/>
      <c r="L44" s="27"/>
    </row>
    <row r="45" spans="1:37" ht="14.45">
      <c r="B45" s="232" t="s">
        <v>57</v>
      </c>
      <c r="C45" s="233" t="s">
        <v>10</v>
      </c>
      <c r="D45" s="27"/>
      <c r="E45" s="27"/>
      <c r="F45" s="234" t="s">
        <v>57</v>
      </c>
      <c r="G45" s="235" t="s">
        <v>10</v>
      </c>
      <c r="H45" s="27"/>
      <c r="I45" s="27"/>
      <c r="J45" s="236" t="s">
        <v>57</v>
      </c>
      <c r="K45" s="236" t="s">
        <v>10</v>
      </c>
      <c r="L45" s="27"/>
    </row>
    <row r="46" spans="1:37" ht="14.45">
      <c r="B46" s="237" t="s">
        <v>59</v>
      </c>
      <c r="C46" s="139">
        <f>+_xlfn.PERCENTILE.INC($B$60:$B$92,0.2)</f>
        <v>0</v>
      </c>
      <c r="D46" s="27"/>
      <c r="E46" s="27"/>
      <c r="F46" s="238" t="s">
        <v>59</v>
      </c>
      <c r="G46" s="239">
        <f>+_xlfn.PERCENTILE.INC($F$60:$F$92,0.2)</f>
        <v>0</v>
      </c>
      <c r="H46" s="27"/>
      <c r="I46" s="27"/>
      <c r="J46" s="81" t="s">
        <v>91</v>
      </c>
      <c r="K46" s="81">
        <v>30</v>
      </c>
      <c r="L46" s="27"/>
    </row>
    <row r="47" spans="1:37" ht="14.45">
      <c r="B47" s="237" t="s">
        <v>60</v>
      </c>
      <c r="C47" s="139">
        <f>+_xlfn.PERCENTILE.INC($B$60:$B$92,0.4)</f>
        <v>2.3800381396348504E-6</v>
      </c>
      <c r="D47" s="27"/>
      <c r="E47" s="27"/>
      <c r="F47" s="238" t="s">
        <v>60</v>
      </c>
      <c r="G47" s="239">
        <f>+_xlfn.PERCENTILE.INC($F$60:$F$92,0.4)</f>
        <v>2.9848030614828289E-6</v>
      </c>
      <c r="H47" s="27"/>
      <c r="I47" s="27"/>
      <c r="J47" s="81" t="s">
        <v>98</v>
      </c>
      <c r="K47" s="81">
        <v>60</v>
      </c>
      <c r="L47" s="27"/>
    </row>
    <row r="48" spans="1:37" ht="14.45">
      <c r="B48" s="237" t="s">
        <v>61</v>
      </c>
      <c r="C48" s="139">
        <f>+_xlfn.PERCENTILE.INC($B$60:$B$92,0.6)</f>
        <v>5.8345190987373158E-5</v>
      </c>
      <c r="D48" s="27"/>
      <c r="E48" s="27"/>
      <c r="F48" s="238" t="s">
        <v>61</v>
      </c>
      <c r="G48" s="239">
        <f>+_xlfn.PERCENTILE.INC($F$60:$F$92,0.6)</f>
        <v>3.7674473308382442E-5</v>
      </c>
      <c r="H48" s="27"/>
      <c r="I48" s="27"/>
      <c r="J48" s="81" t="s">
        <v>92</v>
      </c>
      <c r="K48" s="81">
        <v>100</v>
      </c>
      <c r="L48" s="27"/>
    </row>
    <row r="49" spans="2:12" ht="14.45">
      <c r="B49" s="237" t="s">
        <v>62</v>
      </c>
      <c r="C49" s="139">
        <f>+_xlfn.PERCENTILE.INC($B$60:$B$92,0.8)</f>
        <v>1.098364898253174E-3</v>
      </c>
      <c r="D49" s="27"/>
      <c r="E49" s="27"/>
      <c r="F49" s="238" t="s">
        <v>62</v>
      </c>
      <c r="G49" s="239">
        <f>+_xlfn.PERCENTILE.INC($F$60:$F$92,0.8)</f>
        <v>1.073798776989796E-3</v>
      </c>
      <c r="H49" s="27"/>
      <c r="I49" s="27"/>
      <c r="J49" s="81" t="s">
        <v>95</v>
      </c>
      <c r="K49" s="81">
        <v>0</v>
      </c>
      <c r="L49" s="27"/>
    </row>
    <row r="50" spans="2:12" ht="14.45">
      <c r="B50" s="138"/>
      <c r="C50" s="138"/>
      <c r="D50" s="27"/>
      <c r="E50" s="27"/>
      <c r="F50" s="27"/>
      <c r="G50" s="27"/>
      <c r="H50" s="27"/>
      <c r="I50" s="27"/>
      <c r="J50" s="27"/>
      <c r="K50" s="27"/>
      <c r="L50" s="27"/>
    </row>
    <row r="51" spans="2:12" ht="14.45">
      <c r="B51" s="232" t="s">
        <v>63</v>
      </c>
      <c r="C51" s="233" t="s">
        <v>64</v>
      </c>
      <c r="D51" s="235" t="s">
        <v>10</v>
      </c>
      <c r="E51" s="27"/>
      <c r="F51" s="234" t="s">
        <v>63</v>
      </c>
      <c r="G51" s="235" t="s">
        <v>64</v>
      </c>
      <c r="H51" s="235" t="s">
        <v>10</v>
      </c>
      <c r="I51" s="27"/>
      <c r="J51" s="27"/>
      <c r="K51" s="27"/>
      <c r="L51" s="27"/>
    </row>
    <row r="52" spans="2:12" ht="14.45">
      <c r="B52" s="237" t="s">
        <v>65</v>
      </c>
      <c r="C52" s="240" t="s">
        <v>104</v>
      </c>
      <c r="D52" s="80">
        <v>20</v>
      </c>
      <c r="E52" s="27"/>
      <c r="F52" s="238" t="s">
        <v>65</v>
      </c>
      <c r="G52" s="80" t="s">
        <v>104</v>
      </c>
      <c r="H52" s="80">
        <v>20</v>
      </c>
      <c r="I52" s="27"/>
      <c r="J52" s="27"/>
      <c r="K52" s="27"/>
      <c r="L52" s="27"/>
    </row>
    <row r="53" spans="2:12" ht="14.45">
      <c r="B53" s="237" t="s">
        <v>68</v>
      </c>
      <c r="C53" s="240" t="s">
        <v>105</v>
      </c>
      <c r="D53" s="80">
        <v>40</v>
      </c>
      <c r="E53" s="27"/>
      <c r="F53" s="238" t="s">
        <v>68</v>
      </c>
      <c r="G53" s="80" t="s">
        <v>105</v>
      </c>
      <c r="H53" s="80">
        <v>40</v>
      </c>
      <c r="I53" s="27"/>
      <c r="J53" s="27"/>
      <c r="K53" s="27"/>
      <c r="L53" s="27"/>
    </row>
    <row r="54" spans="2:12" ht="14.45">
      <c r="B54" s="237" t="s">
        <v>71</v>
      </c>
      <c r="C54" s="240" t="s">
        <v>106</v>
      </c>
      <c r="D54" s="80">
        <v>60</v>
      </c>
      <c r="E54" s="27"/>
      <c r="F54" s="238" t="s">
        <v>71</v>
      </c>
      <c r="G54" s="80" t="s">
        <v>106</v>
      </c>
      <c r="H54" s="80">
        <v>60</v>
      </c>
      <c r="I54" s="27"/>
      <c r="J54" s="27"/>
      <c r="K54" s="27"/>
      <c r="L54" s="27"/>
    </row>
    <row r="55" spans="2:12" ht="14.45">
      <c r="B55" s="237" t="s">
        <v>74</v>
      </c>
      <c r="C55" s="240" t="s">
        <v>107</v>
      </c>
      <c r="D55" s="80">
        <v>80</v>
      </c>
      <c r="E55" s="27"/>
      <c r="F55" s="238" t="s">
        <v>74</v>
      </c>
      <c r="G55" s="80" t="s">
        <v>107</v>
      </c>
      <c r="H55" s="80">
        <v>80</v>
      </c>
      <c r="I55" s="27"/>
      <c r="J55" s="27"/>
      <c r="K55" s="27"/>
      <c r="L55" s="27"/>
    </row>
    <row r="56" spans="2:12" ht="14.45">
      <c r="B56" s="237" t="s">
        <v>77</v>
      </c>
      <c r="C56" s="240" t="s">
        <v>108</v>
      </c>
      <c r="D56" s="80">
        <v>100</v>
      </c>
      <c r="E56" s="27"/>
      <c r="F56" s="238" t="s">
        <v>77</v>
      </c>
      <c r="G56" s="80" t="s">
        <v>108</v>
      </c>
      <c r="H56" s="80">
        <v>100</v>
      </c>
      <c r="I56" s="27"/>
      <c r="J56" s="27"/>
      <c r="K56" s="27"/>
      <c r="L56" s="27"/>
    </row>
    <row r="57" spans="2:12" ht="14.45">
      <c r="B57" s="138"/>
      <c r="C57" s="138"/>
      <c r="D57" s="27"/>
      <c r="E57" s="27"/>
      <c r="F57" s="27"/>
      <c r="G57" s="27"/>
      <c r="H57" s="27"/>
      <c r="I57" s="27"/>
      <c r="J57" s="27"/>
      <c r="K57" s="27"/>
      <c r="L57" s="27"/>
    </row>
    <row r="58" spans="2:12" ht="14.45">
      <c r="B58" s="138"/>
      <c r="C58" s="138"/>
      <c r="D58" s="27"/>
      <c r="E58" s="27"/>
      <c r="F58" s="27"/>
      <c r="G58" s="27"/>
      <c r="H58" s="27"/>
      <c r="I58" s="27"/>
      <c r="J58" s="27"/>
      <c r="K58" s="27"/>
      <c r="L58" s="27"/>
    </row>
    <row r="59" spans="2:12" ht="14.45">
      <c r="B59" s="141" t="s">
        <v>13</v>
      </c>
      <c r="C59" s="138"/>
      <c r="D59" s="27"/>
      <c r="E59" s="27"/>
      <c r="F59" s="109" t="s">
        <v>13</v>
      </c>
      <c r="G59" s="27"/>
      <c r="H59" s="27"/>
      <c r="I59" s="27"/>
      <c r="J59" s="109" t="s">
        <v>13</v>
      </c>
      <c r="K59" s="27"/>
      <c r="L59" s="27"/>
    </row>
    <row r="60" spans="2:12" ht="14.45">
      <c r="B60" s="151">
        <v>0</v>
      </c>
      <c r="C60" s="138"/>
      <c r="D60" s="27"/>
      <c r="E60" s="27"/>
      <c r="F60" s="182">
        <v>0</v>
      </c>
      <c r="G60" s="182"/>
      <c r="H60" s="27"/>
      <c r="I60" s="27"/>
      <c r="J60" s="81">
        <v>812</v>
      </c>
      <c r="K60" s="27"/>
      <c r="L60" s="27"/>
    </row>
    <row r="61" spans="2:12" ht="14.45">
      <c r="B61" s="151">
        <v>0</v>
      </c>
      <c r="C61" s="138"/>
      <c r="D61" s="27"/>
      <c r="E61" s="27"/>
      <c r="F61" s="182">
        <v>0</v>
      </c>
      <c r="G61" s="182"/>
      <c r="H61" s="27"/>
      <c r="I61" s="27"/>
      <c r="J61" s="87">
        <v>1250</v>
      </c>
      <c r="K61" s="27"/>
      <c r="L61" s="27"/>
    </row>
    <row r="62" spans="2:12" ht="14.45">
      <c r="B62" s="151">
        <v>0</v>
      </c>
      <c r="C62" s="138"/>
      <c r="D62" s="27"/>
      <c r="E62" s="27"/>
      <c r="F62" s="182">
        <v>0</v>
      </c>
      <c r="G62" s="182"/>
      <c r="H62" s="27"/>
      <c r="I62" s="27"/>
      <c r="J62" s="87">
        <v>2179</v>
      </c>
      <c r="K62" s="27"/>
      <c r="L62" s="27"/>
    </row>
    <row r="63" spans="2:12" ht="14.45">
      <c r="B63" s="151">
        <v>0</v>
      </c>
      <c r="C63" s="138"/>
      <c r="D63" s="27"/>
      <c r="E63" s="27"/>
      <c r="F63" s="182">
        <v>0</v>
      </c>
      <c r="G63" s="182"/>
      <c r="H63" s="27"/>
      <c r="I63" s="27"/>
      <c r="J63" s="87">
        <v>2304</v>
      </c>
      <c r="K63" s="27"/>
      <c r="L63" s="27"/>
    </row>
    <row r="64" spans="2:12" ht="14.45">
      <c r="B64" s="151">
        <v>0</v>
      </c>
      <c r="C64" s="138"/>
      <c r="D64" s="27"/>
      <c r="E64" s="27"/>
      <c r="F64" s="182">
        <v>0</v>
      </c>
      <c r="G64" s="182"/>
      <c r="H64" s="27"/>
      <c r="I64" s="27"/>
      <c r="J64" s="87">
        <v>2787</v>
      </c>
      <c r="K64" s="27"/>
      <c r="L64" s="27"/>
    </row>
    <row r="65" spans="2:12" ht="14.45">
      <c r="B65" s="151">
        <v>0</v>
      </c>
      <c r="C65" s="138"/>
      <c r="D65" s="27"/>
      <c r="E65" s="27"/>
      <c r="F65" s="182">
        <v>0</v>
      </c>
      <c r="G65" s="182"/>
      <c r="H65" s="27"/>
      <c r="I65" s="27"/>
      <c r="J65" s="87">
        <v>3060</v>
      </c>
      <c r="K65" s="27"/>
      <c r="L65" s="27"/>
    </row>
    <row r="66" spans="2:12" ht="14.45">
      <c r="B66" s="151">
        <v>0</v>
      </c>
      <c r="C66" s="138"/>
      <c r="D66" s="27"/>
      <c r="E66" s="27"/>
      <c r="F66" s="182">
        <v>0</v>
      </c>
      <c r="G66" s="182"/>
      <c r="H66" s="27"/>
      <c r="I66" s="27"/>
      <c r="J66" s="87">
        <v>3287</v>
      </c>
      <c r="K66" s="27"/>
      <c r="L66" s="27"/>
    </row>
    <row r="67" spans="2:12" ht="14.45">
      <c r="B67" s="151">
        <v>0</v>
      </c>
      <c r="C67" s="138"/>
      <c r="D67" s="27"/>
      <c r="E67" s="27"/>
      <c r="F67" s="183">
        <v>0</v>
      </c>
      <c r="G67" s="183"/>
      <c r="H67" s="27"/>
      <c r="I67" s="27"/>
      <c r="J67" s="87">
        <v>4324</v>
      </c>
      <c r="K67" s="27"/>
      <c r="L67" s="27"/>
    </row>
    <row r="68" spans="2:12" ht="14.45">
      <c r="B68" s="151">
        <v>3.6574174853724999E-9</v>
      </c>
      <c r="C68" s="138"/>
      <c r="D68" s="27"/>
      <c r="E68" s="27"/>
      <c r="F68" s="182">
        <v>2.9688176074272854E-7</v>
      </c>
      <c r="G68" s="182"/>
      <c r="H68" s="27"/>
      <c r="I68" s="27"/>
      <c r="J68" s="87">
        <v>4549</v>
      </c>
      <c r="K68" s="27"/>
      <c r="L68" s="27"/>
    </row>
    <row r="69" spans="2:12" ht="14.45">
      <c r="B69" s="151">
        <v>3.01807385885712E-8</v>
      </c>
      <c r="C69" s="138"/>
      <c r="D69" s="27"/>
      <c r="E69" s="27"/>
      <c r="F69" s="182">
        <v>4.9470189696558452E-7</v>
      </c>
      <c r="G69" s="182"/>
      <c r="H69" s="27"/>
      <c r="I69" s="27"/>
      <c r="J69" s="87">
        <v>4565</v>
      </c>
      <c r="K69" s="27"/>
      <c r="L69" s="27"/>
    </row>
    <row r="70" spans="2:12" ht="14.45">
      <c r="B70" s="151">
        <v>1.13633140688754E-7</v>
      </c>
      <c r="C70" s="138"/>
      <c r="D70" s="27"/>
      <c r="E70" s="27"/>
      <c r="F70" s="182">
        <v>6.7321523369227712E-7</v>
      </c>
      <c r="G70" s="182"/>
      <c r="H70" s="27"/>
      <c r="I70" s="27"/>
      <c r="J70" s="87">
        <v>4583</v>
      </c>
      <c r="K70" s="27"/>
      <c r="L70" s="27"/>
    </row>
    <row r="71" spans="2:12" ht="14.45">
      <c r="B71" s="151">
        <v>1.20004842541383E-6</v>
      </c>
      <c r="C71" s="138"/>
      <c r="D71" s="27"/>
      <c r="E71" s="27"/>
      <c r="F71" s="182">
        <v>1.2178834253178969E-6</v>
      </c>
      <c r="G71" s="182"/>
      <c r="H71" s="27"/>
      <c r="I71" s="27"/>
      <c r="J71" s="87">
        <v>4675</v>
      </c>
      <c r="K71" s="27"/>
      <c r="L71" s="27"/>
    </row>
    <row r="72" spans="2:12" ht="14.45">
      <c r="B72" s="151">
        <v>1.83278410478725E-6</v>
      </c>
      <c r="C72" s="138"/>
      <c r="D72" s="27"/>
      <c r="E72" s="27"/>
      <c r="F72" s="182">
        <v>1.3362375468363265E-6</v>
      </c>
      <c r="G72" s="182"/>
      <c r="H72" s="27"/>
      <c r="I72" s="27"/>
      <c r="J72" s="87">
        <v>5055</v>
      </c>
      <c r="K72" s="27"/>
      <c r="L72" s="27"/>
    </row>
    <row r="73" spans="2:12" ht="14.45">
      <c r="B73" s="151">
        <v>2.5168516483467498E-6</v>
      </c>
      <c r="C73" s="138"/>
      <c r="D73" s="27"/>
      <c r="E73" s="27"/>
      <c r="F73" s="182">
        <v>3.3969444401444525E-6</v>
      </c>
      <c r="G73" s="182"/>
      <c r="H73" s="27"/>
      <c r="I73" s="27"/>
      <c r="J73" s="87">
        <v>6168</v>
      </c>
      <c r="K73" s="27"/>
      <c r="L73" s="27"/>
    </row>
    <row r="74" spans="2:12" ht="14.45">
      <c r="B74" s="151">
        <v>4.8876085654635702E-6</v>
      </c>
      <c r="C74" s="138"/>
      <c r="D74" s="27"/>
      <c r="E74" s="27"/>
      <c r="F74" s="182">
        <v>4.3572405659633162E-6</v>
      </c>
      <c r="G74" s="182"/>
      <c r="H74" s="27"/>
      <c r="I74" s="27"/>
      <c r="J74" s="87">
        <v>7323</v>
      </c>
      <c r="K74" s="27"/>
      <c r="L74" s="27"/>
    </row>
    <row r="75" spans="2:12" ht="14.45">
      <c r="B75" s="151">
        <v>1.07872734199158E-5</v>
      </c>
      <c r="C75" s="138"/>
      <c r="D75" s="27"/>
      <c r="E75" s="27"/>
      <c r="F75" s="182">
        <v>5.9702931055023627E-6</v>
      </c>
      <c r="G75" s="182"/>
      <c r="H75" s="27"/>
      <c r="I75" s="27"/>
      <c r="J75" s="87">
        <v>7496</v>
      </c>
      <c r="K75" s="27"/>
      <c r="L75" s="27"/>
    </row>
    <row r="76" spans="2:12" ht="14.45">
      <c r="B76" s="151">
        <v>2.9624747648369399E-5</v>
      </c>
      <c r="C76" s="138"/>
      <c r="D76" s="27"/>
      <c r="E76" s="27"/>
      <c r="F76" s="182">
        <v>7.3816075829148112E-6</v>
      </c>
      <c r="G76" s="182"/>
      <c r="H76" s="27"/>
      <c r="I76" s="27"/>
      <c r="J76" s="87">
        <v>8128</v>
      </c>
      <c r="K76" s="27"/>
      <c r="L76" s="27"/>
    </row>
    <row r="77" spans="2:12" ht="14.45">
      <c r="B77" s="151">
        <v>3.9232329449829897E-5</v>
      </c>
      <c r="C77" s="138"/>
      <c r="D77" s="27"/>
      <c r="E77" s="27"/>
      <c r="F77" s="182">
        <v>8.8213705169721322E-6</v>
      </c>
      <c r="G77" s="182"/>
      <c r="H77" s="27"/>
      <c r="I77" s="27"/>
      <c r="J77" s="87">
        <v>8298</v>
      </c>
      <c r="K77" s="27"/>
      <c r="L77" s="27"/>
    </row>
    <row r="78" spans="2:12" ht="14.45">
      <c r="B78" s="151">
        <v>5.5341840500160598E-5</v>
      </c>
      <c r="C78" s="138"/>
      <c r="D78" s="27"/>
      <c r="E78" s="27"/>
      <c r="F78" s="182">
        <v>1.4139102569524556E-5</v>
      </c>
      <c r="G78" s="182"/>
      <c r="H78" s="27"/>
      <c r="I78" s="27"/>
      <c r="J78" s="87">
        <v>8435</v>
      </c>
      <c r="K78" s="27"/>
      <c r="L78" s="27"/>
    </row>
    <row r="79" spans="2:12" ht="14.45">
      <c r="B79" s="151">
        <v>5.8069079352380497E-5</v>
      </c>
      <c r="C79" s="138"/>
      <c r="D79" s="27"/>
      <c r="E79" s="27"/>
      <c r="F79" s="182">
        <v>1.6714835725918783E-5</v>
      </c>
      <c r="G79" s="182"/>
      <c r="H79" s="27"/>
      <c r="I79" s="27"/>
      <c r="J79" s="87">
        <v>8604</v>
      </c>
      <c r="K79" s="27"/>
      <c r="L79" s="27"/>
    </row>
    <row r="80" spans="2:12" ht="14.45">
      <c r="B80" s="151">
        <v>5.9449637527343802E-5</v>
      </c>
      <c r="C80" s="138"/>
      <c r="D80" s="27"/>
      <c r="E80" s="27"/>
      <c r="F80" s="182">
        <v>1.2151302363823746E-4</v>
      </c>
      <c r="G80" s="182"/>
      <c r="H80" s="27"/>
      <c r="I80" s="27"/>
      <c r="J80" s="87">
        <v>8745</v>
      </c>
      <c r="K80" s="27"/>
      <c r="L80" s="27"/>
    </row>
    <row r="81" spans="2:12" ht="14.45">
      <c r="B81" s="151">
        <v>7.0533780143401198E-5</v>
      </c>
      <c r="C81" s="138"/>
      <c r="D81" s="27"/>
      <c r="E81" s="27"/>
      <c r="F81" s="182">
        <v>1.2914356408256797E-4</v>
      </c>
      <c r="G81" s="182"/>
      <c r="H81" s="27"/>
      <c r="I81" s="27"/>
      <c r="J81" s="87">
        <v>8792</v>
      </c>
      <c r="K81" s="27"/>
      <c r="L81" s="27"/>
    </row>
    <row r="82" spans="2:12" ht="14.45">
      <c r="B82" s="151">
        <v>2.5771934364628998E-4</v>
      </c>
      <c r="C82" s="138"/>
      <c r="D82" s="27"/>
      <c r="E82" s="27"/>
      <c r="F82" s="182">
        <v>1.3276726505923492E-4</v>
      </c>
      <c r="G82" s="182"/>
      <c r="H82" s="27"/>
      <c r="I82" s="27"/>
      <c r="J82" s="87">
        <v>9101</v>
      </c>
      <c r="K82" s="27"/>
      <c r="L82" s="27"/>
    </row>
    <row r="83" spans="2:12" ht="14.45">
      <c r="B83" s="151">
        <v>5.5437564811611304E-4</v>
      </c>
      <c r="C83" s="138"/>
      <c r="D83" s="27"/>
      <c r="E83" s="27"/>
      <c r="F83" s="183">
        <v>1.3856589726839348E-4</v>
      </c>
      <c r="G83" s="183"/>
      <c r="H83" s="27"/>
      <c r="I83" s="27"/>
      <c r="J83" s="87">
        <v>9467</v>
      </c>
      <c r="K83" s="27"/>
      <c r="L83" s="27"/>
    </row>
    <row r="84" spans="2:12" ht="14.45">
      <c r="B84" s="151">
        <v>7.0281124427811403E-4</v>
      </c>
      <c r="C84" s="138"/>
      <c r="D84" s="27"/>
      <c r="E84" s="27"/>
      <c r="F84" s="182">
        <v>2.1508105784782752E-4</v>
      </c>
      <c r="G84" s="182"/>
      <c r="H84" s="27"/>
      <c r="I84" s="27"/>
      <c r="J84" s="87">
        <v>9812</v>
      </c>
      <c r="K84" s="27"/>
      <c r="L84" s="27"/>
    </row>
    <row r="85" spans="2:12" ht="14.45">
      <c r="B85" s="151">
        <v>1.07737407947226E-3</v>
      </c>
      <c r="C85" s="138"/>
      <c r="D85" s="27"/>
      <c r="E85" s="27"/>
      <c r="F85" s="182">
        <v>7.0109006861924161E-4</v>
      </c>
      <c r="G85" s="182"/>
      <c r="H85" s="27"/>
      <c r="I85" s="27"/>
      <c r="J85" s="87">
        <v>9975</v>
      </c>
      <c r="K85" s="27"/>
      <c r="L85" s="27"/>
    </row>
    <row r="86" spans="2:12" ht="14.45">
      <c r="B86" s="151">
        <v>1.11235877744045E-3</v>
      </c>
      <c r="C86" s="138"/>
      <c r="D86" s="27"/>
      <c r="E86" s="27"/>
      <c r="F86" s="182">
        <v>1.3222712492368309E-3</v>
      </c>
      <c r="G86" s="182"/>
      <c r="H86" s="27"/>
      <c r="I86" s="27"/>
      <c r="J86" s="87">
        <v>10000</v>
      </c>
      <c r="K86" s="27"/>
      <c r="L86" s="27"/>
    </row>
    <row r="87" spans="2:12" ht="14.45">
      <c r="B87" s="151">
        <v>1.14987018284942E-3</v>
      </c>
      <c r="C87" s="138"/>
      <c r="D87" s="27"/>
      <c r="E87" s="27"/>
      <c r="F87" s="182">
        <v>2.310308912251177E-3</v>
      </c>
      <c r="G87" s="182"/>
      <c r="H87" s="27"/>
      <c r="I87" s="27"/>
      <c r="J87" s="87">
        <v>10000</v>
      </c>
      <c r="K87" s="27"/>
      <c r="L87" s="27"/>
    </row>
    <row r="88" spans="2:12" ht="14.45">
      <c r="B88" s="151">
        <v>1.5639068430064601E-3</v>
      </c>
      <c r="C88" s="138"/>
      <c r="D88" s="27"/>
      <c r="E88" s="27"/>
      <c r="F88" s="182">
        <v>1.0750244953875535E-2</v>
      </c>
      <c r="G88" s="182"/>
      <c r="H88" s="27"/>
      <c r="I88" s="27"/>
      <c r="J88" s="27"/>
      <c r="K88" s="27"/>
      <c r="L88" s="27"/>
    </row>
    <row r="89" spans="2:12" ht="14.45">
      <c r="B89" s="151">
        <v>2.9870762938432899E-3</v>
      </c>
      <c r="C89" s="138"/>
      <c r="D89" s="27"/>
      <c r="E89" s="27"/>
      <c r="F89" s="182">
        <v>1.3505842706430935E-2</v>
      </c>
      <c r="G89" s="182"/>
      <c r="H89" s="27"/>
      <c r="I89" s="27"/>
      <c r="J89" s="27"/>
      <c r="K89" s="27"/>
      <c r="L89" s="27"/>
    </row>
    <row r="90" spans="2:12" ht="14.45">
      <c r="B90" s="151">
        <v>6.8929507024176495E-2</v>
      </c>
      <c r="C90" s="138"/>
      <c r="D90" s="27"/>
      <c r="E90" s="27"/>
      <c r="F90" s="182">
        <v>4.788073199568095E-2</v>
      </c>
      <c r="G90" s="182"/>
      <c r="H90" s="27"/>
      <c r="I90" s="27"/>
      <c r="J90" s="27"/>
      <c r="K90" s="27"/>
      <c r="L90" s="27"/>
    </row>
    <row r="91" spans="2:12" ht="14.45">
      <c r="B91" s="151">
        <v>0.109677225910011</v>
      </c>
      <c r="C91" s="138"/>
      <c r="D91" s="27"/>
      <c r="E91" s="27"/>
      <c r="F91" s="182">
        <v>0.28464140023613049</v>
      </c>
      <c r="G91" s="182"/>
      <c r="H91" s="27"/>
      <c r="I91" s="27"/>
      <c r="J91" s="27"/>
      <c r="K91" s="27"/>
      <c r="L91" s="27"/>
    </row>
    <row r="92" spans="2:12" ht="14.45">
      <c r="B92" s="151">
        <v>0.81035507005372498</v>
      </c>
      <c r="C92" s="138"/>
      <c r="D92" s="27"/>
      <c r="E92" s="27"/>
      <c r="F92" s="182">
        <v>0.49885463337323699</v>
      </c>
      <c r="G92" s="182"/>
      <c r="H92" s="27"/>
      <c r="I92" s="27"/>
      <c r="J92" s="27"/>
      <c r="K92" s="27"/>
      <c r="L92" s="27"/>
    </row>
  </sheetData>
  <sortState xmlns:xlrd2="http://schemas.microsoft.com/office/spreadsheetml/2017/richdata2" ref="G60:G94">
    <sortCondition ref="G60:G94"/>
  </sortState>
  <mergeCells count="15">
    <mergeCell ref="A1:AJ1"/>
    <mergeCell ref="AG2:AG3"/>
    <mergeCell ref="AH2:AH3"/>
    <mergeCell ref="AI2:AI3"/>
    <mergeCell ref="AJ2:AJ4"/>
    <mergeCell ref="O2:S3"/>
    <mergeCell ref="C2:C4"/>
    <mergeCell ref="I2:N3"/>
    <mergeCell ref="T2:Y3"/>
    <mergeCell ref="Z2:AF3"/>
    <mergeCell ref="B43:D43"/>
    <mergeCell ref="F43:H43"/>
    <mergeCell ref="J43:L43"/>
    <mergeCell ref="A2:B3"/>
    <mergeCell ref="D2:H3"/>
  </mergeCells>
  <pageMargins left="0.7" right="0.7" top="0.75" bottom="0.75" header="0.3" footer="0.3"/>
  <pageSetup paperSize="9" orientation="portrait" r:id="rId1"/>
  <headerFooter>
    <oddFooter>&amp;L_x000D_&amp;1#&amp;"Aptos"&amp;10&amp;K000000 Informacion publica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7F0CD-9C79-493E-A2B7-87841A809E17}">
  <dimension ref="A1:O50"/>
  <sheetViews>
    <sheetView tabSelected="1" zoomScale="80" zoomScaleNormal="80" workbookViewId="0">
      <pane xSplit="2" ySplit="12" topLeftCell="D13" activePane="bottomRight" state="frozen"/>
      <selection pane="bottomRight" activeCell="Q27" sqref="Q27"/>
      <selection pane="bottomLeft"/>
      <selection pane="topRight"/>
    </sheetView>
  </sheetViews>
  <sheetFormatPr defaultColWidth="8.85546875" defaultRowHeight="15" customHeight="1"/>
  <cols>
    <col min="1" max="1" width="6" customWidth="1"/>
    <col min="2" max="2" width="19.42578125" customWidth="1"/>
    <col min="3" max="3" width="39.42578125" customWidth="1"/>
    <col min="4" max="4" width="46.42578125" customWidth="1"/>
    <col min="5" max="5" width="39.42578125" customWidth="1"/>
    <col min="6" max="6" width="11.42578125" bestFit="1" customWidth="1"/>
    <col min="7" max="7" width="18" bestFit="1" customWidth="1"/>
    <col min="8" max="8" width="18" customWidth="1"/>
    <col min="9" max="9" width="17" customWidth="1"/>
    <col min="10" max="10" width="14" customWidth="1"/>
    <col min="11" max="12" width="13" customWidth="1"/>
    <col min="13" max="13" width="12" customWidth="1"/>
    <col min="14" max="14" width="14" customWidth="1"/>
    <col min="16" max="16" width="13.28515625" customWidth="1"/>
    <col min="17" max="18" width="15.42578125" customWidth="1"/>
  </cols>
  <sheetData>
    <row r="1" spans="1:15" ht="36" customHeight="1">
      <c r="A1" s="282" t="s">
        <v>109</v>
      </c>
      <c r="B1" s="282"/>
      <c r="C1" s="282"/>
      <c r="D1" s="282"/>
      <c r="E1" s="282"/>
      <c r="F1" s="282"/>
      <c r="G1" s="282"/>
      <c r="H1" s="282"/>
      <c r="I1" s="282"/>
      <c r="J1" s="282"/>
      <c r="K1" s="282"/>
      <c r="L1" s="282"/>
      <c r="M1" s="282"/>
      <c r="N1" s="282"/>
    </row>
    <row r="2" spans="1:15" ht="14.45">
      <c r="B2" s="152"/>
      <c r="C2" s="153" t="s">
        <v>110</v>
      </c>
      <c r="D2" s="153"/>
      <c r="E2" s="152"/>
      <c r="F2" s="152"/>
      <c r="G2" s="152"/>
      <c r="H2" s="152"/>
      <c r="I2" s="152"/>
      <c r="J2" s="152"/>
      <c r="K2" s="152"/>
      <c r="L2" s="152"/>
      <c r="M2" s="152"/>
      <c r="N2" s="152"/>
    </row>
    <row r="3" spans="1:15" ht="14.45">
      <c r="B3" s="152"/>
      <c r="C3" s="154" t="s">
        <v>111</v>
      </c>
      <c r="D3" s="153"/>
      <c r="E3" s="152"/>
      <c r="F3" s="152"/>
      <c r="G3" s="152"/>
      <c r="H3" s="152"/>
      <c r="I3" s="152"/>
      <c r="J3" s="152"/>
      <c r="K3" s="152"/>
      <c r="L3" s="152"/>
      <c r="M3" s="152"/>
      <c r="N3" s="152"/>
    </row>
    <row r="4" spans="1:15" ht="14.45">
      <c r="B4" s="152"/>
      <c r="C4" s="22" t="s">
        <v>112</v>
      </c>
      <c r="E4" s="152"/>
      <c r="F4" s="152"/>
      <c r="G4" s="152"/>
      <c r="H4" s="152"/>
      <c r="I4" s="152"/>
      <c r="J4" s="152"/>
      <c r="K4" s="152"/>
      <c r="L4" s="152"/>
      <c r="M4" s="152"/>
      <c r="N4" s="152"/>
    </row>
    <row r="5" spans="1:15" ht="14.45">
      <c r="B5" s="152"/>
      <c r="C5" t="s">
        <v>113</v>
      </c>
      <c r="E5" s="152"/>
      <c r="F5" s="152"/>
      <c r="G5" s="152"/>
      <c r="H5" s="152"/>
      <c r="I5" s="152"/>
      <c r="J5" s="152"/>
      <c r="K5" s="152"/>
      <c r="L5" s="152"/>
      <c r="M5" s="152"/>
      <c r="N5" s="152"/>
    </row>
    <row r="6" spans="1:15" ht="14.45">
      <c r="B6" s="153"/>
      <c r="C6" t="s">
        <v>114</v>
      </c>
      <c r="D6" s="153"/>
      <c r="E6" s="152"/>
      <c r="F6" s="152"/>
      <c r="G6" s="152"/>
      <c r="H6" s="152"/>
      <c r="I6" s="152"/>
      <c r="J6" s="152"/>
      <c r="K6" s="152"/>
      <c r="L6" s="152"/>
      <c r="M6" s="152"/>
      <c r="N6" s="152"/>
    </row>
    <row r="7" spans="1:15" ht="14.45">
      <c r="B7" s="152"/>
      <c r="C7" s="153" t="s">
        <v>115</v>
      </c>
      <c r="D7" s="153"/>
      <c r="E7" s="153"/>
      <c r="F7" s="152"/>
      <c r="G7" s="152"/>
      <c r="H7" s="152"/>
      <c r="I7" s="152"/>
      <c r="J7" s="152"/>
      <c r="K7" s="152"/>
      <c r="L7" s="152"/>
      <c r="M7" s="152"/>
      <c r="N7" s="152"/>
    </row>
    <row r="8" spans="1:15" ht="14.45">
      <c r="B8" s="152"/>
      <c r="C8" s="26" t="s">
        <v>116</v>
      </c>
      <c r="D8" s="26" t="s">
        <v>58</v>
      </c>
      <c r="E8" s="26" t="s">
        <v>117</v>
      </c>
      <c r="F8" s="152"/>
      <c r="G8" s="152"/>
      <c r="H8" s="152"/>
      <c r="I8" s="152"/>
      <c r="J8" s="152"/>
      <c r="K8" s="152"/>
      <c r="L8" s="152"/>
      <c r="M8" s="152"/>
      <c r="N8" s="152"/>
    </row>
    <row r="9" spans="1:15" ht="14.45">
      <c r="B9" s="152"/>
      <c r="C9" s="26" t="s">
        <v>118</v>
      </c>
      <c r="D9" s="155">
        <f>PERCENTILE(L13:L47,0.25)</f>
        <v>-0.99450097011844674</v>
      </c>
      <c r="E9" s="155" t="s">
        <v>119</v>
      </c>
      <c r="F9" s="152"/>
      <c r="G9" s="152"/>
      <c r="H9" s="152"/>
      <c r="I9" s="152"/>
      <c r="J9" s="152"/>
      <c r="K9" s="152"/>
      <c r="L9" s="152"/>
      <c r="M9" s="152"/>
      <c r="N9" s="152"/>
    </row>
    <row r="10" spans="1:15" ht="14.45">
      <c r="B10" s="152"/>
      <c r="C10" s="26" t="s">
        <v>120</v>
      </c>
      <c r="D10" s="155">
        <f>PERCENTILE(L13:L47,0.5)</f>
        <v>-8.9568662827266568E-2</v>
      </c>
      <c r="E10" s="155" t="s">
        <v>121</v>
      </c>
      <c r="F10" s="152"/>
      <c r="G10" s="152"/>
      <c r="H10" s="152"/>
      <c r="I10" s="152"/>
      <c r="J10" s="152"/>
      <c r="K10" s="152"/>
      <c r="L10" s="152"/>
      <c r="M10" s="152"/>
      <c r="N10" s="152"/>
    </row>
    <row r="11" spans="1:15" ht="14.45">
      <c r="B11" s="152"/>
      <c r="C11" s="26" t="s">
        <v>122</v>
      </c>
      <c r="D11" s="155">
        <f>PERCENTILE(L13:L47,0.75)</f>
        <v>0.78188627215201267</v>
      </c>
      <c r="E11" s="155" t="s">
        <v>123</v>
      </c>
      <c r="F11" s="152"/>
      <c r="G11" s="152"/>
      <c r="H11" s="152"/>
      <c r="I11" s="152"/>
      <c r="J11" s="152"/>
      <c r="K11" s="152"/>
      <c r="L11" s="152"/>
      <c r="M11" s="152"/>
      <c r="N11" s="152"/>
    </row>
    <row r="12" spans="1:15" ht="75" customHeight="1">
      <c r="A12" s="156" t="s">
        <v>11</v>
      </c>
      <c r="B12" s="156" t="s">
        <v>124</v>
      </c>
      <c r="C12" s="156" t="s">
        <v>125</v>
      </c>
      <c r="D12" s="156" t="s">
        <v>126</v>
      </c>
      <c r="E12" s="156" t="s">
        <v>127</v>
      </c>
      <c r="F12" s="157" t="s">
        <v>128</v>
      </c>
      <c r="G12" s="156" t="s">
        <v>129</v>
      </c>
      <c r="H12" s="158" t="s">
        <v>130</v>
      </c>
      <c r="I12" s="156" t="s">
        <v>131</v>
      </c>
      <c r="J12" s="156" t="s">
        <v>132</v>
      </c>
      <c r="K12" s="156" t="s">
        <v>133</v>
      </c>
      <c r="L12" s="158" t="s">
        <v>134</v>
      </c>
      <c r="M12" s="159" t="s">
        <v>135</v>
      </c>
      <c r="N12" s="160" t="s">
        <v>136</v>
      </c>
      <c r="O12" s="23"/>
    </row>
    <row r="13" spans="1:15" ht="14.45">
      <c r="A13" s="21">
        <v>1</v>
      </c>
      <c r="B13" s="164" t="s">
        <v>18</v>
      </c>
      <c r="C13" s="164" t="s">
        <v>137</v>
      </c>
      <c r="D13" s="164" t="s">
        <v>138</v>
      </c>
      <c r="E13" s="164" t="s">
        <v>139</v>
      </c>
      <c r="F13" s="165">
        <v>80</v>
      </c>
      <c r="G13" s="92">
        <v>2701454.52</v>
      </c>
      <c r="H13" s="92">
        <v>752142799.00999999</v>
      </c>
      <c r="I13" s="92">
        <v>478205849.25999999</v>
      </c>
      <c r="J13" s="92"/>
      <c r="K13" s="92"/>
      <c r="L13" s="93">
        <f t="shared" ref="L13:L24" si="0">(I13-G13-H13)/(I13+G13+H13)</f>
        <v>-0.22435293070740217</v>
      </c>
      <c r="M13" s="166">
        <f t="shared" ref="M13:M22" si="1">IF($F13=0,0,IF(L13="",0,IF(L13&lt;=$D$9,0,IF(L13&lt;=$D$10,40,IF(L13&lt;=$D$11,80,100)))))</f>
        <v>40</v>
      </c>
      <c r="N13" s="167">
        <f t="shared" ref="N13:N47" si="2">((F13*50%)+(M13*50%))</f>
        <v>60</v>
      </c>
    </row>
    <row r="14" spans="1:15" ht="14.45">
      <c r="A14" s="21">
        <v>2</v>
      </c>
      <c r="B14" s="164" t="s">
        <v>20</v>
      </c>
      <c r="C14" s="164" t="s">
        <v>140</v>
      </c>
      <c r="D14" s="164" t="s">
        <v>141</v>
      </c>
      <c r="E14" s="164" t="s">
        <v>142</v>
      </c>
      <c r="F14" s="165">
        <v>100</v>
      </c>
      <c r="G14" s="92">
        <v>205168.99</v>
      </c>
      <c r="H14" s="92">
        <v>67589.679999999993</v>
      </c>
      <c r="I14" s="92">
        <v>2397006.42</v>
      </c>
      <c r="J14" s="92"/>
      <c r="K14" s="92"/>
      <c r="L14" s="93">
        <f t="shared" si="0"/>
        <v>0.79566841215981265</v>
      </c>
      <c r="M14" s="166">
        <f t="shared" si="1"/>
        <v>100</v>
      </c>
      <c r="N14" s="167">
        <f t="shared" si="2"/>
        <v>100</v>
      </c>
    </row>
    <row r="15" spans="1:15" ht="14.45">
      <c r="A15" s="21">
        <v>3</v>
      </c>
      <c r="B15" s="164" t="s">
        <v>21</v>
      </c>
      <c r="C15" s="164" t="s">
        <v>143</v>
      </c>
      <c r="D15" s="164" t="s">
        <v>144</v>
      </c>
      <c r="E15" s="164" t="s">
        <v>145</v>
      </c>
      <c r="F15" s="165">
        <v>60</v>
      </c>
      <c r="G15" s="92">
        <v>0</v>
      </c>
      <c r="H15" s="92">
        <v>116465.17</v>
      </c>
      <c r="I15" s="92">
        <v>38854.550000000003</v>
      </c>
      <c r="J15" s="92"/>
      <c r="K15" s="92"/>
      <c r="L15" s="93">
        <f t="shared" si="0"/>
        <v>-0.49968297650806992</v>
      </c>
      <c r="M15" s="166">
        <f t="shared" si="1"/>
        <v>40</v>
      </c>
      <c r="N15" s="167">
        <f t="shared" si="2"/>
        <v>50</v>
      </c>
    </row>
    <row r="16" spans="1:15" ht="14.45">
      <c r="A16" s="21">
        <v>4</v>
      </c>
      <c r="B16" s="164" t="s">
        <v>23</v>
      </c>
      <c r="C16" s="164" t="s">
        <v>146</v>
      </c>
      <c r="D16" s="164" t="s">
        <v>147</v>
      </c>
      <c r="E16" s="164" t="s">
        <v>148</v>
      </c>
      <c r="F16" s="165">
        <v>80</v>
      </c>
      <c r="G16" s="92">
        <v>88740.22</v>
      </c>
      <c r="H16" s="92">
        <v>0</v>
      </c>
      <c r="I16" s="92">
        <v>99189.97</v>
      </c>
      <c r="J16" s="92"/>
      <c r="K16" s="92"/>
      <c r="L16" s="93">
        <f t="shared" si="0"/>
        <v>5.5604424174742761E-2</v>
      </c>
      <c r="M16" s="166">
        <f t="shared" si="1"/>
        <v>80</v>
      </c>
      <c r="N16" s="167">
        <f t="shared" si="2"/>
        <v>80</v>
      </c>
    </row>
    <row r="17" spans="1:14" ht="14.45">
      <c r="A17" s="21">
        <v>5</v>
      </c>
      <c r="B17" s="164" t="s">
        <v>24</v>
      </c>
      <c r="C17" s="164" t="s">
        <v>149</v>
      </c>
      <c r="D17" s="164" t="s">
        <v>150</v>
      </c>
      <c r="E17" s="164" t="s">
        <v>151</v>
      </c>
      <c r="F17" s="165">
        <v>100</v>
      </c>
      <c r="G17" s="92">
        <v>7334.01</v>
      </c>
      <c r="H17" s="92">
        <v>7497.6</v>
      </c>
      <c r="I17" s="92">
        <v>126086.36</v>
      </c>
      <c r="J17" s="92"/>
      <c r="K17" s="92"/>
      <c r="L17" s="93">
        <f t="shared" si="0"/>
        <v>0.78950009001690846</v>
      </c>
      <c r="M17" s="166">
        <f t="shared" si="1"/>
        <v>100</v>
      </c>
      <c r="N17" s="167">
        <f t="shared" si="2"/>
        <v>100</v>
      </c>
    </row>
    <row r="18" spans="1:14" ht="14.45">
      <c r="A18" s="21">
        <v>6</v>
      </c>
      <c r="B18" s="164" t="s">
        <v>25</v>
      </c>
      <c r="C18" s="164" t="s">
        <v>152</v>
      </c>
      <c r="D18" s="164" t="s">
        <v>153</v>
      </c>
      <c r="E18" s="164" t="s">
        <v>154</v>
      </c>
      <c r="F18" s="165">
        <v>100</v>
      </c>
      <c r="G18" s="92">
        <v>6607450587.2299995</v>
      </c>
      <c r="H18" s="92">
        <v>1214369597.8800001</v>
      </c>
      <c r="I18" s="92">
        <v>1318274.92</v>
      </c>
      <c r="J18" s="92"/>
      <c r="K18" s="92"/>
      <c r="L18" s="93">
        <f t="shared" si="0"/>
        <v>-0.99966298054758063</v>
      </c>
      <c r="M18" s="166">
        <f t="shared" si="1"/>
        <v>0</v>
      </c>
      <c r="N18" s="167">
        <f t="shared" si="2"/>
        <v>50</v>
      </c>
    </row>
    <row r="19" spans="1:14" ht="14.45">
      <c r="A19" s="21">
        <v>7</v>
      </c>
      <c r="B19" s="164" t="s">
        <v>26</v>
      </c>
      <c r="C19" s="164" t="s">
        <v>155</v>
      </c>
      <c r="D19" s="164" t="s">
        <v>156</v>
      </c>
      <c r="E19" s="164" t="s">
        <v>157</v>
      </c>
      <c r="F19" s="165">
        <v>80</v>
      </c>
      <c r="G19" s="92">
        <v>157577831.22</v>
      </c>
      <c r="H19" s="92">
        <v>341936143.36000001</v>
      </c>
      <c r="I19" s="92">
        <v>417388266.87</v>
      </c>
      <c r="J19" s="92"/>
      <c r="K19" s="92"/>
      <c r="L19" s="93">
        <f t="shared" si="0"/>
        <v>-8.9568662827266568E-2</v>
      </c>
      <c r="M19" s="166">
        <f t="shared" si="1"/>
        <v>40</v>
      </c>
      <c r="N19" s="167">
        <f t="shared" si="2"/>
        <v>60</v>
      </c>
    </row>
    <row r="20" spans="1:14" ht="14.45">
      <c r="A20" s="21">
        <v>8</v>
      </c>
      <c r="B20" s="164" t="s">
        <v>27</v>
      </c>
      <c r="C20" s="164" t="s">
        <v>158</v>
      </c>
      <c r="D20" s="164" t="s">
        <v>159</v>
      </c>
      <c r="E20" s="164" t="s">
        <v>160</v>
      </c>
      <c r="F20" s="165">
        <v>80</v>
      </c>
      <c r="G20" s="92">
        <v>16785.27</v>
      </c>
      <c r="H20" s="92">
        <v>0</v>
      </c>
      <c r="I20" s="92">
        <v>33242.1</v>
      </c>
      <c r="J20" s="92"/>
      <c r="K20" s="92"/>
      <c r="L20" s="93">
        <f t="shared" si="0"/>
        <v>0.32895652919591817</v>
      </c>
      <c r="M20" s="166">
        <f t="shared" si="1"/>
        <v>80</v>
      </c>
      <c r="N20" s="167">
        <f t="shared" si="2"/>
        <v>80</v>
      </c>
    </row>
    <row r="21" spans="1:14" ht="14.45">
      <c r="A21" s="21">
        <v>9</v>
      </c>
      <c r="B21" s="164" t="s">
        <v>28</v>
      </c>
      <c r="C21" s="164" t="s">
        <v>161</v>
      </c>
      <c r="D21" s="164" t="s">
        <v>162</v>
      </c>
      <c r="E21" s="164" t="s">
        <v>163</v>
      </c>
      <c r="F21" s="165">
        <v>80</v>
      </c>
      <c r="G21" s="92">
        <v>7116.1</v>
      </c>
      <c r="H21" s="92">
        <v>0</v>
      </c>
      <c r="I21" s="92">
        <v>0</v>
      </c>
      <c r="J21" s="92"/>
      <c r="K21" s="92"/>
      <c r="L21" s="93">
        <f t="shared" si="0"/>
        <v>-1</v>
      </c>
      <c r="M21" s="166">
        <f t="shared" si="1"/>
        <v>0</v>
      </c>
      <c r="N21" s="167">
        <f t="shared" si="2"/>
        <v>40</v>
      </c>
    </row>
    <row r="22" spans="1:14" ht="14.45">
      <c r="A22" s="21">
        <v>10</v>
      </c>
      <c r="B22" s="164" t="s">
        <v>29</v>
      </c>
      <c r="C22" s="164" t="s">
        <v>164</v>
      </c>
      <c r="D22" s="164" t="s">
        <v>165</v>
      </c>
      <c r="E22" s="164" t="s">
        <v>166</v>
      </c>
      <c r="F22" s="165">
        <v>0</v>
      </c>
      <c r="G22" s="92">
        <v>132798293.22</v>
      </c>
      <c r="H22" s="92">
        <v>0</v>
      </c>
      <c r="I22" s="92">
        <v>0</v>
      </c>
      <c r="J22" s="92"/>
      <c r="K22" s="92"/>
      <c r="L22" s="93">
        <f t="shared" si="0"/>
        <v>-1</v>
      </c>
      <c r="M22" s="166">
        <f>IF($F22=0,0,IF(L22="",0,IF(L22&lt;=$D$9,0,IF(L22&lt;=$D$10,40,IF(L22&lt;=$D$11,80,100)))))</f>
        <v>0</v>
      </c>
      <c r="N22" s="167">
        <f t="shared" si="2"/>
        <v>0</v>
      </c>
    </row>
    <row r="23" spans="1:14" ht="14.45">
      <c r="A23" s="21">
        <v>11</v>
      </c>
      <c r="B23" s="164" t="s">
        <v>30</v>
      </c>
      <c r="C23" s="164" t="s">
        <v>167</v>
      </c>
      <c r="D23" s="164" t="s">
        <v>168</v>
      </c>
      <c r="E23" s="164" t="s">
        <v>169</v>
      </c>
      <c r="F23" s="165">
        <v>80</v>
      </c>
      <c r="G23" s="92">
        <v>1685102.63</v>
      </c>
      <c r="H23" s="92">
        <v>491242.55</v>
      </c>
      <c r="I23" s="92">
        <v>929776.62</v>
      </c>
      <c r="J23" s="92"/>
      <c r="K23" s="92"/>
      <c r="L23" s="93">
        <f t="shared" si="0"/>
        <v>-0.40132636138093486</v>
      </c>
      <c r="M23" s="166">
        <f t="shared" ref="M23:M24" si="3">IF($F23=0,0,IF(L23="",0,IF(L23&lt;=$D$9,0,IF(L23&lt;=$D$10,40,IF(L23&lt;=$D$11,80,100)))))</f>
        <v>40</v>
      </c>
      <c r="N23" s="167">
        <f t="shared" si="2"/>
        <v>60</v>
      </c>
    </row>
    <row r="24" spans="1:14" ht="14.45">
      <c r="A24" s="21">
        <v>12</v>
      </c>
      <c r="B24" s="164" t="s">
        <v>31</v>
      </c>
      <c r="C24" s="164" t="s">
        <v>170</v>
      </c>
      <c r="D24" s="164" t="s">
        <v>171</v>
      </c>
      <c r="E24" s="164" t="s">
        <v>172</v>
      </c>
      <c r="F24" s="165">
        <v>100</v>
      </c>
      <c r="G24" s="92">
        <v>103462.99</v>
      </c>
      <c r="H24" s="92">
        <v>0</v>
      </c>
      <c r="I24" s="92">
        <v>0</v>
      </c>
      <c r="J24" s="92"/>
      <c r="K24" s="92"/>
      <c r="L24" s="93">
        <f t="shared" si="0"/>
        <v>-1</v>
      </c>
      <c r="M24" s="166">
        <f t="shared" si="3"/>
        <v>0</v>
      </c>
      <c r="N24" s="167">
        <f t="shared" si="2"/>
        <v>50</v>
      </c>
    </row>
    <row r="25" spans="1:14" ht="14.45">
      <c r="A25" s="21">
        <v>13</v>
      </c>
      <c r="B25" s="164" t="s">
        <v>32</v>
      </c>
      <c r="C25" s="164" t="s">
        <v>173</v>
      </c>
      <c r="D25" s="164" t="s">
        <v>174</v>
      </c>
      <c r="E25" s="164" t="s">
        <v>175</v>
      </c>
      <c r="F25" s="165">
        <v>40</v>
      </c>
      <c r="G25" s="92">
        <v>0</v>
      </c>
      <c r="H25" s="92">
        <v>0</v>
      </c>
      <c r="I25" s="92">
        <v>0</v>
      </c>
      <c r="J25" s="92"/>
      <c r="K25" s="92"/>
      <c r="L25" s="92" t="str">
        <f>IF((I25+G25+H25)=0,"",(I25-G25-H25)/(I25+G25+H25))</f>
        <v/>
      </c>
      <c r="M25" s="166">
        <f>IF($F25=0,0,IF(L25="",0,IF(L25&lt;=$D$9,0,IF(L25&lt;=$D$10,40,IF(L25&lt;=$D$11,80,100)))))</f>
        <v>0</v>
      </c>
      <c r="N25" s="167">
        <f t="shared" si="2"/>
        <v>20</v>
      </c>
    </row>
    <row r="26" spans="1:14" ht="14.45">
      <c r="A26" s="21">
        <v>14</v>
      </c>
      <c r="B26" s="164" t="s">
        <v>33</v>
      </c>
      <c r="C26" s="164" t="s">
        <v>176</v>
      </c>
      <c r="D26" s="164" t="s">
        <v>177</v>
      </c>
      <c r="E26" s="164" t="s">
        <v>178</v>
      </c>
      <c r="F26" s="165">
        <v>80</v>
      </c>
      <c r="G26" s="92">
        <v>74202.38</v>
      </c>
      <c r="H26" s="92">
        <v>53214.45</v>
      </c>
      <c r="I26" s="92">
        <v>2539570.17</v>
      </c>
      <c r="J26" s="92"/>
      <c r="K26" s="92"/>
      <c r="L26" s="93">
        <f>(I26-G26-H26)/(I26+G26+H26)</f>
        <v>0.90444885558122323</v>
      </c>
      <c r="M26" s="166">
        <f t="shared" ref="M26:M30" si="4">IF($F26=0,0,IF(L26="",0,IF(L26&lt;=$D$9,0,IF(L26&lt;=$D$10,40,IF(L26&lt;=$D$11,80,100)))))</f>
        <v>100</v>
      </c>
      <c r="N26" s="167">
        <f t="shared" si="2"/>
        <v>90</v>
      </c>
    </row>
    <row r="27" spans="1:14" ht="14.45">
      <c r="A27" s="21">
        <v>15</v>
      </c>
      <c r="B27" s="164" t="s">
        <v>34</v>
      </c>
      <c r="C27" s="164" t="s">
        <v>179</v>
      </c>
      <c r="D27" s="164" t="s">
        <v>180</v>
      </c>
      <c r="E27" s="164" t="s">
        <v>181</v>
      </c>
      <c r="F27" s="165">
        <v>100</v>
      </c>
      <c r="G27" s="92">
        <v>8739815.5800000001</v>
      </c>
      <c r="H27" s="92">
        <v>95534342.700000003</v>
      </c>
      <c r="I27" s="92">
        <v>827658077.5</v>
      </c>
      <c r="J27" s="92"/>
      <c r="K27" s="92"/>
      <c r="L27" s="93">
        <f>(I27-G27-H27)/(I27+G27+H27)</f>
        <v>0.77621944112121921</v>
      </c>
      <c r="M27" s="166">
        <f t="shared" si="4"/>
        <v>80</v>
      </c>
      <c r="N27" s="167">
        <f t="shared" si="2"/>
        <v>90</v>
      </c>
    </row>
    <row r="28" spans="1:14" ht="14.45">
      <c r="A28" s="21">
        <v>16</v>
      </c>
      <c r="B28" s="164" t="s">
        <v>35</v>
      </c>
      <c r="C28" s="164" t="s">
        <v>182</v>
      </c>
      <c r="D28" s="164" t="s">
        <v>183</v>
      </c>
      <c r="E28" s="164" t="s">
        <v>175</v>
      </c>
      <c r="F28" s="165">
        <v>40</v>
      </c>
      <c r="G28" s="92">
        <v>0</v>
      </c>
      <c r="H28" s="92">
        <v>0</v>
      </c>
      <c r="I28" s="92">
        <v>1313665.4099999999</v>
      </c>
      <c r="J28" s="92"/>
      <c r="K28" s="92"/>
      <c r="L28" s="93">
        <f>(I28-G28-H28)/(I28+G28+H28)</f>
        <v>1</v>
      </c>
      <c r="M28" s="166">
        <f t="shared" si="4"/>
        <v>100</v>
      </c>
      <c r="N28" s="167">
        <f t="shared" si="2"/>
        <v>70</v>
      </c>
    </row>
    <row r="29" spans="1:14" ht="14.45">
      <c r="A29" s="21">
        <v>17</v>
      </c>
      <c r="B29" s="164" t="s">
        <v>36</v>
      </c>
      <c r="C29" s="164" t="s">
        <v>184</v>
      </c>
      <c r="D29" s="164" t="s">
        <v>185</v>
      </c>
      <c r="E29" s="164" t="s">
        <v>186</v>
      </c>
      <c r="F29" s="165">
        <v>100</v>
      </c>
      <c r="G29" s="92">
        <v>186625.03</v>
      </c>
      <c r="H29" s="92">
        <v>1412389.06</v>
      </c>
      <c r="I29" s="92">
        <v>11049016.199999999</v>
      </c>
      <c r="J29" s="92"/>
      <c r="K29" s="92"/>
      <c r="L29" s="93">
        <f>(I29-G29-H29)/(I29+G29+H29)</f>
        <v>0.74715207770110426</v>
      </c>
      <c r="M29" s="166">
        <f t="shared" si="4"/>
        <v>80</v>
      </c>
      <c r="N29" s="167">
        <f t="shared" si="2"/>
        <v>90</v>
      </c>
    </row>
    <row r="30" spans="1:14" ht="14.45">
      <c r="A30" s="21">
        <v>18</v>
      </c>
      <c r="B30" s="164" t="s">
        <v>37</v>
      </c>
      <c r="C30" s="164" t="s">
        <v>187</v>
      </c>
      <c r="D30" s="164" t="s">
        <v>188</v>
      </c>
      <c r="E30" s="164" t="s">
        <v>189</v>
      </c>
      <c r="F30" s="165">
        <v>80</v>
      </c>
      <c r="G30" s="92">
        <v>0</v>
      </c>
      <c r="H30" s="92">
        <v>32701.07</v>
      </c>
      <c r="I30" s="92">
        <v>501282.01</v>
      </c>
      <c r="J30" s="92">
        <v>74272</v>
      </c>
      <c r="K30" s="92">
        <v>198</v>
      </c>
      <c r="L30" s="93">
        <f>(I30-(J30*K30)-H30)/(I30+(J30*K30)+H30)</f>
        <v>-0.93421426468238011</v>
      </c>
      <c r="M30" s="166">
        <f t="shared" si="4"/>
        <v>40</v>
      </c>
      <c r="N30" s="167">
        <f t="shared" si="2"/>
        <v>60</v>
      </c>
    </row>
    <row r="31" spans="1:14" ht="14.45">
      <c r="A31" s="21">
        <v>19</v>
      </c>
      <c r="B31" s="164" t="s">
        <v>38</v>
      </c>
      <c r="C31" s="164" t="s">
        <v>190</v>
      </c>
      <c r="D31" s="164" t="s">
        <v>165</v>
      </c>
      <c r="E31" s="164" t="s">
        <v>166</v>
      </c>
      <c r="F31" s="165">
        <v>0</v>
      </c>
      <c r="G31" s="92">
        <v>16339486.57</v>
      </c>
      <c r="H31" s="92">
        <v>2945103.24</v>
      </c>
      <c r="I31" s="92">
        <v>18698477.129999999</v>
      </c>
      <c r="J31" s="92"/>
      <c r="K31" s="92"/>
      <c r="L31" s="93">
        <f t="shared" ref="L31:L37" si="5">(I31-G31-H31)/(I31+G31+H31)</f>
        <v>-1.5430894006686062E-2</v>
      </c>
      <c r="M31" s="166">
        <f>IF($F31=0,0,IF(L31="",0,IF(L31&lt;=$D$9,0,IF(L31&lt;=$D$10,40,IF(L31&lt;=$D$11,80,100)))))</f>
        <v>0</v>
      </c>
      <c r="N31" s="167">
        <f t="shared" si="2"/>
        <v>0</v>
      </c>
    </row>
    <row r="32" spans="1:14" ht="14.45">
      <c r="A32" s="21">
        <v>20</v>
      </c>
      <c r="B32" s="164" t="s">
        <v>191</v>
      </c>
      <c r="C32" s="164" t="s">
        <v>192</v>
      </c>
      <c r="D32" s="164" t="s">
        <v>193</v>
      </c>
      <c r="E32" s="164" t="s">
        <v>194</v>
      </c>
      <c r="F32" s="165">
        <v>80</v>
      </c>
      <c r="G32" s="92">
        <v>28479105.239999998</v>
      </c>
      <c r="H32" s="92">
        <v>296683.14</v>
      </c>
      <c r="I32" s="92">
        <v>79337.600000000006</v>
      </c>
      <c r="J32" s="92"/>
      <c r="K32" s="92"/>
      <c r="L32" s="93">
        <f t="shared" si="5"/>
        <v>-0.99450097011844674</v>
      </c>
      <c r="M32" s="166">
        <f>IF($F32=0,0,IF(L32="",0,IF(L32&lt;=$D$9,0,IF(L32&lt;=$D$10,40,IF(L32&lt;=$D$11,80,100)))))</f>
        <v>0</v>
      </c>
      <c r="N32" s="167">
        <f t="shared" si="2"/>
        <v>40</v>
      </c>
    </row>
    <row r="33" spans="1:14" ht="14.45">
      <c r="A33" s="21">
        <v>21</v>
      </c>
      <c r="B33" s="164" t="s">
        <v>40</v>
      </c>
      <c r="C33" s="164" t="s">
        <v>195</v>
      </c>
      <c r="D33" s="164" t="s">
        <v>196</v>
      </c>
      <c r="E33" s="164" t="s">
        <v>197</v>
      </c>
      <c r="F33" s="165">
        <v>40</v>
      </c>
      <c r="G33" s="92">
        <v>0</v>
      </c>
      <c r="H33" s="92">
        <v>425.2</v>
      </c>
      <c r="I33" s="92">
        <v>47452.81</v>
      </c>
      <c r="J33" s="92"/>
      <c r="K33" s="92"/>
      <c r="L33" s="93">
        <f t="shared" si="5"/>
        <v>0.98223819243949373</v>
      </c>
      <c r="M33" s="166">
        <f t="shared" ref="M33:M47" si="6">IF($F33=0,0,IF(L33="",0,IF(L33&lt;=$D$9,0,IF(L33&lt;=$D$10,40,IF(L33&lt;=$D$11,80,100)))))</f>
        <v>100</v>
      </c>
      <c r="N33" s="167">
        <f t="shared" si="2"/>
        <v>70</v>
      </c>
    </row>
    <row r="34" spans="1:14" ht="14.45">
      <c r="A34" s="21">
        <v>22</v>
      </c>
      <c r="B34" s="164" t="s">
        <v>41</v>
      </c>
      <c r="C34" s="164" t="s">
        <v>198</v>
      </c>
      <c r="D34" s="164" t="s">
        <v>199</v>
      </c>
      <c r="E34" s="164" t="s">
        <v>200</v>
      </c>
      <c r="F34" s="165">
        <v>80</v>
      </c>
      <c r="G34" s="92">
        <v>58369.05</v>
      </c>
      <c r="H34" s="92">
        <v>0</v>
      </c>
      <c r="I34" s="92">
        <v>491.07</v>
      </c>
      <c r="J34" s="92"/>
      <c r="K34" s="92"/>
      <c r="L34" s="93">
        <f t="shared" si="5"/>
        <v>-0.98331399935983821</v>
      </c>
      <c r="M34" s="166">
        <f t="shared" si="6"/>
        <v>40</v>
      </c>
      <c r="N34" s="167">
        <f t="shared" si="2"/>
        <v>60</v>
      </c>
    </row>
    <row r="35" spans="1:14" ht="14.45">
      <c r="A35" s="21">
        <v>23</v>
      </c>
      <c r="B35" s="164" t="s">
        <v>42</v>
      </c>
      <c r="C35" s="164" t="s">
        <v>201</v>
      </c>
      <c r="D35" s="164" t="s">
        <v>202</v>
      </c>
      <c r="E35" s="164" t="s">
        <v>203</v>
      </c>
      <c r="F35" s="165">
        <v>100</v>
      </c>
      <c r="G35" s="92">
        <v>149</v>
      </c>
      <c r="H35" s="92">
        <v>618501486.33000004</v>
      </c>
      <c r="I35" s="92">
        <v>2837181.56</v>
      </c>
      <c r="J35" s="92"/>
      <c r="K35" s="92"/>
      <c r="L35" s="93">
        <f t="shared" si="5"/>
        <v>-0.99086752192885375</v>
      </c>
      <c r="M35" s="166">
        <f t="shared" si="6"/>
        <v>40</v>
      </c>
      <c r="N35" s="167">
        <f t="shared" si="2"/>
        <v>70</v>
      </c>
    </row>
    <row r="36" spans="1:14" ht="14.45">
      <c r="A36" s="21">
        <v>24</v>
      </c>
      <c r="B36" s="164" t="s">
        <v>43</v>
      </c>
      <c r="C36" s="164" t="s">
        <v>204</v>
      </c>
      <c r="D36" s="164" t="s">
        <v>205</v>
      </c>
      <c r="E36" s="164" t="s">
        <v>206</v>
      </c>
      <c r="F36" s="165">
        <v>100</v>
      </c>
      <c r="G36" s="92">
        <v>224338519.24000001</v>
      </c>
      <c r="H36" s="92">
        <v>0</v>
      </c>
      <c r="I36" s="92">
        <v>0</v>
      </c>
      <c r="J36" s="92"/>
      <c r="K36" s="92"/>
      <c r="L36" s="93">
        <f t="shared" si="5"/>
        <v>-1</v>
      </c>
      <c r="M36" s="166">
        <f t="shared" si="6"/>
        <v>0</v>
      </c>
      <c r="N36" s="167">
        <f t="shared" si="2"/>
        <v>50</v>
      </c>
    </row>
    <row r="37" spans="1:14" ht="14.45">
      <c r="A37" s="21">
        <v>25</v>
      </c>
      <c r="B37" s="164" t="s">
        <v>44</v>
      </c>
      <c r="C37" s="164" t="s">
        <v>207</v>
      </c>
      <c r="D37" s="164" t="s">
        <v>208</v>
      </c>
      <c r="E37" s="164" t="s">
        <v>209</v>
      </c>
      <c r="F37" s="165">
        <v>100</v>
      </c>
      <c r="G37" s="92">
        <v>1696158.72</v>
      </c>
      <c r="H37" s="92">
        <v>10086198.32</v>
      </c>
      <c r="I37" s="92">
        <v>3949064.98</v>
      </c>
      <c r="J37" s="92"/>
      <c r="K37" s="92"/>
      <c r="L37" s="93">
        <f t="shared" si="5"/>
        <v>-0.49793922317011241</v>
      </c>
      <c r="M37" s="166">
        <f t="shared" si="6"/>
        <v>40</v>
      </c>
      <c r="N37" s="167">
        <f t="shared" si="2"/>
        <v>70</v>
      </c>
    </row>
    <row r="38" spans="1:14" ht="14.45">
      <c r="A38" s="21">
        <v>26</v>
      </c>
      <c r="B38" s="164" t="s">
        <v>45</v>
      </c>
      <c r="C38" s="164" t="s">
        <v>210</v>
      </c>
      <c r="D38" s="164" t="s">
        <v>211</v>
      </c>
      <c r="E38" s="164" t="s">
        <v>212</v>
      </c>
      <c r="F38" s="165">
        <v>80</v>
      </c>
      <c r="G38" s="92">
        <v>0</v>
      </c>
      <c r="H38" s="92">
        <v>0</v>
      </c>
      <c r="I38" s="92">
        <v>0</v>
      </c>
      <c r="J38" s="92">
        <v>3333</v>
      </c>
      <c r="K38" s="92">
        <v>1954</v>
      </c>
      <c r="L38" s="93">
        <f>(I38-(J38*K38)-H38)/(I38+(J38*K38)+H38)</f>
        <v>-1</v>
      </c>
      <c r="M38" s="166">
        <f t="shared" si="6"/>
        <v>0</v>
      </c>
      <c r="N38" s="167">
        <f t="shared" si="2"/>
        <v>40</v>
      </c>
    </row>
    <row r="39" spans="1:14" ht="14.45">
      <c r="A39" s="21">
        <v>27</v>
      </c>
      <c r="B39" s="164" t="s">
        <v>46</v>
      </c>
      <c r="C39" s="164" t="s">
        <v>213</v>
      </c>
      <c r="D39" s="164" t="s">
        <v>214</v>
      </c>
      <c r="E39" s="164" t="s">
        <v>215</v>
      </c>
      <c r="F39" s="165">
        <v>60</v>
      </c>
      <c r="G39" s="92">
        <v>0</v>
      </c>
      <c r="H39" s="92">
        <v>855227.43</v>
      </c>
      <c r="I39" s="92">
        <v>49279873.32</v>
      </c>
      <c r="J39" s="92"/>
      <c r="K39" s="92"/>
      <c r="L39" s="93">
        <f>(I39-G39-H39)/(I39+G39+H39)</f>
        <v>0.96588308721011196</v>
      </c>
      <c r="M39" s="166">
        <f t="shared" si="6"/>
        <v>100</v>
      </c>
      <c r="N39" s="167">
        <f t="shared" si="2"/>
        <v>80</v>
      </c>
    </row>
    <row r="40" spans="1:14" ht="14.45">
      <c r="A40" s="21">
        <v>28</v>
      </c>
      <c r="B40" s="164" t="s">
        <v>47</v>
      </c>
      <c r="C40" s="164" t="s">
        <v>216</v>
      </c>
      <c r="D40" s="164" t="s">
        <v>217</v>
      </c>
      <c r="E40" s="164" t="s">
        <v>218</v>
      </c>
      <c r="F40" s="165">
        <v>100</v>
      </c>
      <c r="G40" s="92">
        <v>15918.83</v>
      </c>
      <c r="H40" s="92">
        <v>45805527.950000003</v>
      </c>
      <c r="I40" s="92">
        <v>356245758.08999997</v>
      </c>
      <c r="J40" s="92"/>
      <c r="K40" s="92"/>
      <c r="L40" s="93">
        <f>(I40-G40-H40)/(I40+G40+H40)</f>
        <v>0.77207070745889173</v>
      </c>
      <c r="M40" s="166">
        <f t="shared" si="6"/>
        <v>80</v>
      </c>
      <c r="N40" s="167">
        <f t="shared" si="2"/>
        <v>90</v>
      </c>
    </row>
    <row r="41" spans="1:14" ht="14.45">
      <c r="A41" s="21">
        <v>29</v>
      </c>
      <c r="B41" s="164" t="s">
        <v>48</v>
      </c>
      <c r="C41" s="164" t="s">
        <v>219</v>
      </c>
      <c r="D41" s="164" t="s">
        <v>220</v>
      </c>
      <c r="E41" s="164" t="s">
        <v>221</v>
      </c>
      <c r="F41" s="165">
        <v>100</v>
      </c>
      <c r="G41" s="92">
        <v>1299571.29</v>
      </c>
      <c r="H41" s="92">
        <v>0</v>
      </c>
      <c r="I41" s="92">
        <v>0</v>
      </c>
      <c r="J41" s="92"/>
      <c r="K41" s="92"/>
      <c r="L41" s="93">
        <f>(I41-G41-H41)/(I41+G41+H41)</f>
        <v>-1</v>
      </c>
      <c r="M41" s="166">
        <f t="shared" si="6"/>
        <v>0</v>
      </c>
      <c r="N41" s="167">
        <f t="shared" si="2"/>
        <v>50</v>
      </c>
    </row>
    <row r="42" spans="1:14" ht="14.45">
      <c r="A42" s="21">
        <v>30</v>
      </c>
      <c r="B42" s="164" t="s">
        <v>49</v>
      </c>
      <c r="C42" s="164" t="s">
        <v>222</v>
      </c>
      <c r="D42" s="164" t="s">
        <v>223</v>
      </c>
      <c r="E42" s="164" t="s">
        <v>224</v>
      </c>
      <c r="F42" s="165">
        <v>80</v>
      </c>
      <c r="G42" s="92">
        <v>43356.54</v>
      </c>
      <c r="H42" s="92">
        <v>48373.55</v>
      </c>
      <c r="I42" s="92">
        <v>5834499.2000000002</v>
      </c>
      <c r="J42" s="92"/>
      <c r="K42" s="92"/>
      <c r="L42" s="93">
        <f>(I42-G42-H42)/(I42+G42+H42)</f>
        <v>0.96904267941343869</v>
      </c>
      <c r="M42" s="166">
        <f t="shared" si="6"/>
        <v>100</v>
      </c>
      <c r="N42" s="167">
        <f t="shared" si="2"/>
        <v>90</v>
      </c>
    </row>
    <row r="43" spans="1:14" ht="14.45">
      <c r="A43" s="21">
        <v>31</v>
      </c>
      <c r="B43" s="164" t="s">
        <v>50</v>
      </c>
      <c r="C43" s="164" t="s">
        <v>225</v>
      </c>
      <c r="D43" s="164" t="s">
        <v>183</v>
      </c>
      <c r="E43" s="164" t="s">
        <v>175</v>
      </c>
      <c r="F43" s="165">
        <v>40</v>
      </c>
      <c r="G43" s="92">
        <v>0</v>
      </c>
      <c r="H43" s="92">
        <v>41435</v>
      </c>
      <c r="I43" s="92">
        <v>309193</v>
      </c>
      <c r="J43" s="92"/>
      <c r="K43" s="92"/>
      <c r="L43" s="93">
        <f>(I43-G43-H43)/(I43+G43+H43)</f>
        <v>0.76365264610926675</v>
      </c>
      <c r="M43" s="166">
        <f t="shared" si="6"/>
        <v>80</v>
      </c>
      <c r="N43" s="167">
        <f t="shared" si="2"/>
        <v>60</v>
      </c>
    </row>
    <row r="44" spans="1:14" ht="14.45">
      <c r="A44" s="21">
        <v>32</v>
      </c>
      <c r="B44" s="164" t="s">
        <v>51</v>
      </c>
      <c r="C44" s="164" t="s">
        <v>226</v>
      </c>
      <c r="D44" s="164" t="s">
        <v>227</v>
      </c>
      <c r="E44" s="164" t="s">
        <v>228</v>
      </c>
      <c r="F44" s="165">
        <v>80</v>
      </c>
      <c r="G44" s="92">
        <v>4176.5</v>
      </c>
      <c r="H44" s="92">
        <v>108932.51</v>
      </c>
      <c r="I44" s="92">
        <v>956273.19</v>
      </c>
      <c r="J44" s="92"/>
      <c r="K44" s="92"/>
      <c r="L44" s="93">
        <f>(I44-G44-H44)/(I44+G44+H44)</f>
        <v>0.7884591495912312</v>
      </c>
      <c r="M44" s="166">
        <f t="shared" si="6"/>
        <v>100</v>
      </c>
      <c r="N44" s="167">
        <f t="shared" si="2"/>
        <v>90</v>
      </c>
    </row>
    <row r="45" spans="1:14" ht="14.45">
      <c r="A45" s="21">
        <v>33</v>
      </c>
      <c r="B45" s="164" t="s">
        <v>52</v>
      </c>
      <c r="C45" s="164" t="s">
        <v>229</v>
      </c>
      <c r="D45" s="164" t="s">
        <v>230</v>
      </c>
      <c r="E45" s="164" t="s">
        <v>231</v>
      </c>
      <c r="F45" s="165">
        <v>100</v>
      </c>
      <c r="G45" s="92">
        <v>1516039.94</v>
      </c>
      <c r="H45" s="92">
        <v>0</v>
      </c>
      <c r="I45" s="92">
        <v>0</v>
      </c>
      <c r="J45" s="92"/>
      <c r="K45" s="92"/>
      <c r="L45" s="93">
        <f>(I45-G45-H45)/(I45+G45+H45)</f>
        <v>-1</v>
      </c>
      <c r="M45" s="166">
        <f t="shared" si="6"/>
        <v>0</v>
      </c>
      <c r="N45" s="167">
        <f t="shared" si="2"/>
        <v>50</v>
      </c>
    </row>
    <row r="46" spans="1:14" ht="14.45">
      <c r="A46" s="21">
        <v>34</v>
      </c>
      <c r="B46" s="164" t="s">
        <v>53</v>
      </c>
      <c r="C46" s="164" t="s">
        <v>232</v>
      </c>
      <c r="D46" s="164" t="s">
        <v>233</v>
      </c>
      <c r="E46" s="164" t="s">
        <v>175</v>
      </c>
      <c r="F46" s="165">
        <v>40</v>
      </c>
      <c r="G46" s="92">
        <v>0</v>
      </c>
      <c r="H46" s="92">
        <v>0</v>
      </c>
      <c r="I46" s="92">
        <v>0</v>
      </c>
      <c r="J46" s="92"/>
      <c r="K46" s="92"/>
      <c r="L46" s="92" t="str">
        <f>IF((I46+G46+H46)=0,"",(I46-G46-H46)/(I46+G46+H46))</f>
        <v/>
      </c>
      <c r="M46" s="166">
        <f>IF($F46=0,0,IF(L46="",0,IF(L46&lt;=$D$9,0,IF(L46&lt;=$D$10,40,IF(L46&lt;=$D$11,80,100)))))</f>
        <v>0</v>
      </c>
      <c r="N46" s="167">
        <f t="shared" si="2"/>
        <v>20</v>
      </c>
    </row>
    <row r="47" spans="1:14" ht="14.45">
      <c r="A47" s="21">
        <v>35</v>
      </c>
      <c r="B47" s="164" t="s">
        <v>54</v>
      </c>
      <c r="C47" s="164" t="s">
        <v>234</v>
      </c>
      <c r="D47" s="164" t="s">
        <v>235</v>
      </c>
      <c r="E47" s="164" t="s">
        <v>236</v>
      </c>
      <c r="F47" s="165">
        <v>80</v>
      </c>
      <c r="G47" s="92">
        <v>1971799.89</v>
      </c>
      <c r="H47" s="92">
        <v>1036108.18</v>
      </c>
      <c r="I47" s="92">
        <v>24573190.100000001</v>
      </c>
      <c r="J47" s="92"/>
      <c r="K47" s="92"/>
      <c r="L47" s="93">
        <f>(I47-G47-H47)/(I47+G47+H47)</f>
        <v>0.78188627215201267</v>
      </c>
      <c r="M47" s="166">
        <f t="shared" si="6"/>
        <v>80</v>
      </c>
      <c r="N47" s="167">
        <f t="shared" si="2"/>
        <v>80</v>
      </c>
    </row>
    <row r="48" spans="1:14" ht="14.45"/>
    <row r="49" ht="63" customHeight="1"/>
    <row r="50" ht="63" customHeight="1"/>
  </sheetData>
  <mergeCells count="1">
    <mergeCell ref="A1:N1"/>
  </mergeCells>
  <pageMargins left="0.75" right="0.75" top="1" bottom="1" header="0.5" footer="0.5"/>
  <headerFooter>
    <oddFooter>&amp;L_x000D_&amp;1#&amp;"Aptos"&amp;10&amp;K000000 Informacion publica</oddFooter>
  </headerFooter>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7EEB0-A672-4037-9840-4164714F23C5}">
  <dimension ref="A1:J117"/>
  <sheetViews>
    <sheetView topLeftCell="A3" zoomScale="97" zoomScaleNormal="55" workbookViewId="0">
      <selection activeCell="A5" sqref="A5"/>
    </sheetView>
  </sheetViews>
  <sheetFormatPr defaultColWidth="9.140625" defaultRowHeight="15" customHeight="1"/>
  <cols>
    <col min="1" max="1" width="6" style="16" customWidth="1"/>
    <col min="2" max="2" width="28.7109375" style="17" customWidth="1"/>
    <col min="3" max="3" width="18" style="16" customWidth="1"/>
    <col min="4" max="4" width="106.85546875" style="16" customWidth="1"/>
    <col min="5" max="5" width="59.7109375" style="16" customWidth="1"/>
    <col min="6" max="6" width="9.140625" style="16"/>
    <col min="7" max="7" width="18.28515625" style="16" customWidth="1"/>
    <col min="8" max="8" width="65.42578125" style="16" customWidth="1"/>
    <col min="9" max="9" width="20.42578125" style="16" customWidth="1"/>
    <col min="10" max="10" width="119.42578125" style="16" customWidth="1"/>
    <col min="11" max="16384" width="9.140625" style="16"/>
  </cols>
  <sheetData>
    <row r="1" spans="1:9" ht="37.5" customHeight="1">
      <c r="A1" s="282" t="s">
        <v>237</v>
      </c>
      <c r="B1" s="282"/>
      <c r="C1" s="282"/>
      <c r="D1" s="282"/>
      <c r="E1" s="282"/>
      <c r="F1" s="129"/>
      <c r="G1" s="129"/>
      <c r="H1" s="129"/>
      <c r="I1" s="129"/>
    </row>
    <row r="2" spans="1:9" ht="31.5" customHeight="1">
      <c r="A2" s="283" t="s">
        <v>238</v>
      </c>
      <c r="B2" s="283"/>
      <c r="C2" s="283"/>
      <c r="D2" s="283"/>
      <c r="E2" s="283"/>
    </row>
    <row r="3" spans="1:9" ht="35.1">
      <c r="A3" s="115" t="s">
        <v>11</v>
      </c>
      <c r="B3" s="115" t="s">
        <v>124</v>
      </c>
      <c r="C3" s="115" t="s">
        <v>239</v>
      </c>
      <c r="D3" s="115" t="s">
        <v>240</v>
      </c>
      <c r="E3" s="115" t="s">
        <v>241</v>
      </c>
      <c r="G3" s="288" t="s">
        <v>242</v>
      </c>
      <c r="H3" s="288"/>
      <c r="I3" s="288"/>
    </row>
    <row r="4" spans="1:9" ht="16.5">
      <c r="A4" s="209">
        <v>1</v>
      </c>
      <c r="B4" s="225" t="s">
        <v>18</v>
      </c>
      <c r="C4" s="210">
        <v>80</v>
      </c>
      <c r="D4" s="211" t="s">
        <v>243</v>
      </c>
      <c r="E4" s="211" t="s">
        <v>244</v>
      </c>
      <c r="G4" s="212" t="s">
        <v>245</v>
      </c>
      <c r="H4" s="212" t="s">
        <v>246</v>
      </c>
      <c r="I4" s="212" t="s">
        <v>247</v>
      </c>
    </row>
    <row r="5" spans="1:9" ht="15.95">
      <c r="A5" s="213">
        <v>2</v>
      </c>
      <c r="B5" s="226" t="s">
        <v>248</v>
      </c>
      <c r="C5" s="30">
        <v>80</v>
      </c>
      <c r="D5" s="214" t="s">
        <v>249</v>
      </c>
      <c r="E5" s="217" t="s">
        <v>244</v>
      </c>
      <c r="G5" s="286" t="s">
        <v>250</v>
      </c>
      <c r="H5" s="216" t="s">
        <v>251</v>
      </c>
      <c r="I5" s="215">
        <v>0</v>
      </c>
    </row>
    <row r="6" spans="1:9" ht="15.95">
      <c r="A6" s="213">
        <v>3</v>
      </c>
      <c r="B6" s="227" t="s">
        <v>21</v>
      </c>
      <c r="C6" s="30">
        <v>20</v>
      </c>
      <c r="D6" s="214" t="s">
        <v>252</v>
      </c>
      <c r="E6" s="214" t="s">
        <v>253</v>
      </c>
      <c r="G6" s="286"/>
      <c r="H6" s="216" t="s">
        <v>254</v>
      </c>
      <c r="I6" s="215">
        <v>20</v>
      </c>
    </row>
    <row r="7" spans="1:9" ht="15.95">
      <c r="A7" s="213">
        <v>4</v>
      </c>
      <c r="B7" s="227" t="s">
        <v>23</v>
      </c>
      <c r="C7" s="30">
        <v>60</v>
      </c>
      <c r="D7" s="217" t="s">
        <v>255</v>
      </c>
      <c r="E7" s="214" t="s">
        <v>256</v>
      </c>
      <c r="G7" s="286"/>
      <c r="H7" s="216" t="s">
        <v>257</v>
      </c>
      <c r="I7" s="215">
        <v>40</v>
      </c>
    </row>
    <row r="8" spans="1:9" ht="15.95">
      <c r="A8" s="213">
        <v>5</v>
      </c>
      <c r="B8" s="227" t="s">
        <v>24</v>
      </c>
      <c r="C8" s="30">
        <v>100</v>
      </c>
      <c r="D8" s="214" t="s">
        <v>258</v>
      </c>
      <c r="E8" s="214" t="s">
        <v>259</v>
      </c>
      <c r="G8" s="286"/>
      <c r="H8" s="216" t="s">
        <v>260</v>
      </c>
      <c r="I8" s="215">
        <v>60</v>
      </c>
    </row>
    <row r="9" spans="1:9" ht="15.95">
      <c r="A9" s="213">
        <v>6</v>
      </c>
      <c r="B9" s="227" t="s">
        <v>25</v>
      </c>
      <c r="C9" s="30">
        <v>100</v>
      </c>
      <c r="D9" s="214" t="s">
        <v>261</v>
      </c>
      <c r="E9" s="214" t="s">
        <v>253</v>
      </c>
      <c r="G9" s="286"/>
      <c r="H9" s="216" t="s">
        <v>262</v>
      </c>
      <c r="I9" s="215">
        <v>80</v>
      </c>
    </row>
    <row r="10" spans="1:9" ht="15.95">
      <c r="A10" s="213">
        <v>7</v>
      </c>
      <c r="B10" s="227" t="s">
        <v>26</v>
      </c>
      <c r="C10" s="30">
        <v>100</v>
      </c>
      <c r="D10" s="214" t="s">
        <v>263</v>
      </c>
      <c r="E10" s="214" t="s">
        <v>253</v>
      </c>
      <c r="G10" s="286"/>
      <c r="H10" s="216" t="s">
        <v>264</v>
      </c>
      <c r="I10" s="215">
        <v>100</v>
      </c>
    </row>
    <row r="11" spans="1:9" ht="15.95">
      <c r="A11" s="213">
        <v>8</v>
      </c>
      <c r="B11" s="227" t="s">
        <v>27</v>
      </c>
      <c r="C11" s="30">
        <v>20</v>
      </c>
      <c r="D11" s="217" t="s">
        <v>265</v>
      </c>
      <c r="E11" s="217" t="s">
        <v>253</v>
      </c>
    </row>
    <row r="12" spans="1:9" ht="15.95">
      <c r="A12" s="213">
        <v>9</v>
      </c>
      <c r="B12" s="226" t="s">
        <v>28</v>
      </c>
      <c r="C12" s="30">
        <v>60</v>
      </c>
      <c r="D12" s="217" t="s">
        <v>266</v>
      </c>
      <c r="E12" s="214" t="s">
        <v>267</v>
      </c>
    </row>
    <row r="13" spans="1:9" ht="15.95">
      <c r="A13" s="213">
        <v>10</v>
      </c>
      <c r="B13" s="227" t="s">
        <v>29</v>
      </c>
      <c r="C13" s="30">
        <v>100</v>
      </c>
      <c r="D13" s="214" t="s">
        <v>268</v>
      </c>
      <c r="E13" s="214" t="s">
        <v>253</v>
      </c>
    </row>
    <row r="14" spans="1:9" ht="15.95">
      <c r="A14" s="213">
        <v>11</v>
      </c>
      <c r="B14" s="227" t="s">
        <v>30</v>
      </c>
      <c r="C14" s="30">
        <v>20</v>
      </c>
      <c r="D14" s="214" t="s">
        <v>269</v>
      </c>
      <c r="E14" s="214" t="s">
        <v>270</v>
      </c>
    </row>
    <row r="15" spans="1:9" ht="15.95">
      <c r="A15" s="213">
        <v>12</v>
      </c>
      <c r="B15" s="227" t="s">
        <v>31</v>
      </c>
      <c r="C15" s="30">
        <v>20</v>
      </c>
      <c r="D15" s="214" t="s">
        <v>271</v>
      </c>
      <c r="E15" s="214" t="s">
        <v>272</v>
      </c>
    </row>
    <row r="16" spans="1:9" ht="15.95">
      <c r="A16" s="213">
        <v>13</v>
      </c>
      <c r="B16" s="227" t="s">
        <v>273</v>
      </c>
      <c r="C16" s="30">
        <v>40</v>
      </c>
      <c r="D16" s="214" t="s">
        <v>274</v>
      </c>
      <c r="E16" s="214" t="s">
        <v>275</v>
      </c>
    </row>
    <row r="17" spans="1:5" ht="15.95">
      <c r="A17" s="213">
        <v>14</v>
      </c>
      <c r="B17" s="227" t="s">
        <v>33</v>
      </c>
      <c r="C17" s="30">
        <v>20</v>
      </c>
      <c r="D17" s="217" t="s">
        <v>276</v>
      </c>
      <c r="E17" s="214" t="s">
        <v>253</v>
      </c>
    </row>
    <row r="18" spans="1:5" ht="15.95">
      <c r="A18" s="213">
        <v>15</v>
      </c>
      <c r="B18" s="227" t="s">
        <v>34</v>
      </c>
      <c r="C18" s="30">
        <v>100</v>
      </c>
      <c r="D18" s="214" t="s">
        <v>277</v>
      </c>
      <c r="E18" s="214" t="s">
        <v>253</v>
      </c>
    </row>
    <row r="19" spans="1:5" ht="15.95">
      <c r="A19" s="213">
        <v>16</v>
      </c>
      <c r="B19" s="226" t="s">
        <v>35</v>
      </c>
      <c r="C19" s="30">
        <v>40</v>
      </c>
      <c r="D19" s="214" t="s">
        <v>278</v>
      </c>
      <c r="E19" s="214" t="s">
        <v>279</v>
      </c>
    </row>
    <row r="20" spans="1:5" ht="15.95">
      <c r="A20" s="213">
        <v>17</v>
      </c>
      <c r="B20" s="226" t="s">
        <v>36</v>
      </c>
      <c r="C20" s="30">
        <v>100</v>
      </c>
      <c r="D20" s="214" t="s">
        <v>280</v>
      </c>
      <c r="E20" s="214" t="s">
        <v>253</v>
      </c>
    </row>
    <row r="21" spans="1:5" ht="15.95">
      <c r="A21" s="213">
        <v>18</v>
      </c>
      <c r="B21" s="226" t="s">
        <v>37</v>
      </c>
      <c r="C21" s="30">
        <v>20</v>
      </c>
      <c r="D21" s="217" t="s">
        <v>281</v>
      </c>
      <c r="E21" s="214" t="s">
        <v>253</v>
      </c>
    </row>
    <row r="22" spans="1:5" ht="15.95">
      <c r="A22" s="213">
        <v>19</v>
      </c>
      <c r="B22" s="226" t="s">
        <v>282</v>
      </c>
      <c r="C22" s="30">
        <v>100</v>
      </c>
      <c r="D22" s="214" t="s">
        <v>283</v>
      </c>
      <c r="E22" s="214" t="s">
        <v>284</v>
      </c>
    </row>
    <row r="23" spans="1:5" ht="15.95">
      <c r="A23" s="213">
        <v>20</v>
      </c>
      <c r="B23" s="226" t="s">
        <v>39</v>
      </c>
      <c r="C23" s="30">
        <v>100</v>
      </c>
      <c r="D23" s="214" t="s">
        <v>285</v>
      </c>
      <c r="E23" s="214" t="s">
        <v>253</v>
      </c>
    </row>
    <row r="24" spans="1:5" ht="15.95">
      <c r="A24" s="213">
        <v>21</v>
      </c>
      <c r="B24" s="218" t="s">
        <v>40</v>
      </c>
      <c r="C24" s="30">
        <v>80</v>
      </c>
      <c r="D24" s="218" t="s">
        <v>286</v>
      </c>
      <c r="E24" s="214" t="s">
        <v>256</v>
      </c>
    </row>
    <row r="25" spans="1:5" ht="15.95">
      <c r="A25" s="213">
        <v>22</v>
      </c>
      <c r="B25" s="226" t="s">
        <v>41</v>
      </c>
      <c r="C25" s="30">
        <v>60</v>
      </c>
      <c r="D25" s="217" t="s">
        <v>287</v>
      </c>
      <c r="E25" s="214" t="s">
        <v>253</v>
      </c>
    </row>
    <row r="26" spans="1:5" ht="15.95">
      <c r="A26" s="213">
        <v>23</v>
      </c>
      <c r="B26" s="226" t="s">
        <v>42</v>
      </c>
      <c r="C26" s="30">
        <v>100</v>
      </c>
      <c r="D26" s="214" t="s">
        <v>288</v>
      </c>
      <c r="E26" s="214" t="s">
        <v>253</v>
      </c>
    </row>
    <row r="27" spans="1:5" ht="15.95">
      <c r="A27" s="213">
        <v>24</v>
      </c>
      <c r="B27" s="226" t="s">
        <v>43</v>
      </c>
      <c r="C27" s="30">
        <v>100</v>
      </c>
      <c r="D27" s="214" t="s">
        <v>289</v>
      </c>
      <c r="E27" s="214" t="s">
        <v>253</v>
      </c>
    </row>
    <row r="28" spans="1:5" ht="15.95">
      <c r="A28" s="213">
        <v>25</v>
      </c>
      <c r="B28" s="226" t="s">
        <v>44</v>
      </c>
      <c r="C28" s="30">
        <v>100</v>
      </c>
      <c r="D28" s="214" t="s">
        <v>289</v>
      </c>
      <c r="E28" s="214" t="s">
        <v>253</v>
      </c>
    </row>
    <row r="29" spans="1:5" ht="15.95">
      <c r="A29" s="213">
        <v>26</v>
      </c>
      <c r="B29" s="218" t="s">
        <v>45</v>
      </c>
      <c r="C29" s="30">
        <v>40</v>
      </c>
      <c r="D29" s="214" t="s">
        <v>290</v>
      </c>
      <c r="E29" s="214" t="s">
        <v>253</v>
      </c>
    </row>
    <row r="30" spans="1:5" ht="15.95">
      <c r="A30" s="213">
        <v>27</v>
      </c>
      <c r="B30" s="226" t="s">
        <v>46</v>
      </c>
      <c r="C30" s="30">
        <v>40</v>
      </c>
      <c r="D30" s="214" t="s">
        <v>291</v>
      </c>
      <c r="E30" s="214" t="s">
        <v>292</v>
      </c>
    </row>
    <row r="31" spans="1:5" ht="15.95">
      <c r="A31" s="213">
        <v>28</v>
      </c>
      <c r="B31" s="227" t="s">
        <v>47</v>
      </c>
      <c r="C31" s="30">
        <v>100</v>
      </c>
      <c r="D31" s="214" t="s">
        <v>293</v>
      </c>
      <c r="E31" s="214" t="s">
        <v>253</v>
      </c>
    </row>
    <row r="32" spans="1:5" ht="15.95">
      <c r="A32" s="213">
        <v>29</v>
      </c>
      <c r="B32" s="226" t="s">
        <v>294</v>
      </c>
      <c r="C32" s="30">
        <v>80</v>
      </c>
      <c r="D32" s="214" t="s">
        <v>295</v>
      </c>
      <c r="E32" s="217" t="s">
        <v>244</v>
      </c>
    </row>
    <row r="33" spans="1:10" ht="15.95">
      <c r="A33" s="213">
        <v>30</v>
      </c>
      <c r="B33" s="226" t="s">
        <v>49</v>
      </c>
      <c r="C33" s="30">
        <v>20</v>
      </c>
      <c r="D33" s="214" t="s">
        <v>296</v>
      </c>
      <c r="E33" s="214" t="s">
        <v>253</v>
      </c>
    </row>
    <row r="34" spans="1:10" ht="15.95">
      <c r="A34" s="213">
        <v>31</v>
      </c>
      <c r="B34" s="226" t="s">
        <v>50</v>
      </c>
      <c r="C34" s="30">
        <v>60</v>
      </c>
      <c r="D34" s="214" t="s">
        <v>297</v>
      </c>
      <c r="E34" s="214" t="s">
        <v>253</v>
      </c>
    </row>
    <row r="35" spans="1:10" ht="15.95">
      <c r="A35" s="213">
        <v>32</v>
      </c>
      <c r="B35" s="226" t="s">
        <v>51</v>
      </c>
      <c r="C35" s="30">
        <v>40</v>
      </c>
      <c r="D35" s="214" t="s">
        <v>298</v>
      </c>
      <c r="E35" s="214" t="s">
        <v>253</v>
      </c>
    </row>
    <row r="36" spans="1:10" ht="15.95">
      <c r="A36" s="213">
        <v>33</v>
      </c>
      <c r="B36" s="226" t="s">
        <v>52</v>
      </c>
      <c r="C36" s="30">
        <v>80</v>
      </c>
      <c r="D36" s="214" t="s">
        <v>299</v>
      </c>
      <c r="E36" s="214" t="s">
        <v>253</v>
      </c>
    </row>
    <row r="37" spans="1:10" ht="15.95">
      <c r="A37" s="213">
        <v>34</v>
      </c>
      <c r="B37" s="226" t="s">
        <v>53</v>
      </c>
      <c r="C37" s="30">
        <v>20</v>
      </c>
      <c r="D37" s="214" t="s">
        <v>300</v>
      </c>
      <c r="E37" s="214" t="s">
        <v>301</v>
      </c>
    </row>
    <row r="38" spans="1:10" ht="15.95">
      <c r="A38" s="213">
        <v>35</v>
      </c>
      <c r="B38" s="226" t="s">
        <v>54</v>
      </c>
      <c r="C38" s="30">
        <v>80</v>
      </c>
      <c r="D38" s="214" t="s">
        <v>302</v>
      </c>
      <c r="E38" s="214" t="s">
        <v>253</v>
      </c>
    </row>
    <row r="39" spans="1:10" ht="15.95">
      <c r="A39" s="213"/>
      <c r="B39" s="226"/>
      <c r="C39" s="30"/>
      <c r="D39" s="214"/>
      <c r="E39" s="213"/>
    </row>
    <row r="40" spans="1:10" ht="18.600000000000001">
      <c r="A40" s="290" t="s">
        <v>303</v>
      </c>
      <c r="B40" s="290"/>
      <c r="C40" s="290"/>
      <c r="D40" s="290"/>
      <c r="E40" s="290"/>
      <c r="F40" s="219"/>
      <c r="G40" s="219"/>
      <c r="H40" s="219"/>
      <c r="I40" s="219"/>
    </row>
    <row r="41" spans="1:10" s="230" customFormat="1" ht="35.1">
      <c r="A41" s="115" t="s">
        <v>11</v>
      </c>
      <c r="B41" s="115" t="s">
        <v>124</v>
      </c>
      <c r="C41" s="115" t="s">
        <v>239</v>
      </c>
      <c r="D41" s="115" t="s">
        <v>304</v>
      </c>
      <c r="E41" s="115" t="s">
        <v>305</v>
      </c>
      <c r="F41" s="229"/>
      <c r="G41" s="287" t="s">
        <v>306</v>
      </c>
      <c r="H41" s="287"/>
      <c r="I41" s="287"/>
    </row>
    <row r="42" spans="1:10" ht="16.5">
      <c r="A42" s="213">
        <v>1</v>
      </c>
      <c r="B42" s="227" t="s">
        <v>18</v>
      </c>
      <c r="C42" s="30">
        <v>80</v>
      </c>
      <c r="D42" s="214" t="s">
        <v>307</v>
      </c>
      <c r="E42" s="214" t="s">
        <v>308</v>
      </c>
      <c r="G42" s="212" t="s">
        <v>245</v>
      </c>
      <c r="H42" s="212" t="s">
        <v>309</v>
      </c>
      <c r="I42" s="212" t="s">
        <v>247</v>
      </c>
    </row>
    <row r="43" spans="1:10" ht="15.95">
      <c r="A43" s="213">
        <v>2</v>
      </c>
      <c r="B43" s="226" t="s">
        <v>248</v>
      </c>
      <c r="C43" s="30">
        <v>100</v>
      </c>
      <c r="D43" s="214" t="s">
        <v>310</v>
      </c>
      <c r="E43" s="214" t="s">
        <v>308</v>
      </c>
      <c r="G43" s="286" t="s">
        <v>311</v>
      </c>
      <c r="H43" s="214" t="s">
        <v>312</v>
      </c>
      <c r="I43" s="215">
        <v>0</v>
      </c>
    </row>
    <row r="44" spans="1:10" ht="15.95">
      <c r="A44" s="213">
        <v>3</v>
      </c>
      <c r="B44" s="227" t="s">
        <v>21</v>
      </c>
      <c r="C44" s="30">
        <v>40</v>
      </c>
      <c r="D44" s="217" t="s">
        <v>313</v>
      </c>
      <c r="E44" s="214" t="s">
        <v>308</v>
      </c>
      <c r="G44" s="286"/>
      <c r="H44" s="214" t="s">
        <v>314</v>
      </c>
      <c r="I44" s="215">
        <v>20</v>
      </c>
    </row>
    <row r="45" spans="1:10" ht="15.95">
      <c r="A45" s="213">
        <v>4</v>
      </c>
      <c r="B45" s="227" t="s">
        <v>23</v>
      </c>
      <c r="C45" s="30">
        <v>80</v>
      </c>
      <c r="D45" s="214" t="s">
        <v>315</v>
      </c>
      <c r="E45" s="214" t="s">
        <v>308</v>
      </c>
      <c r="G45" s="286"/>
      <c r="H45" s="214" t="s">
        <v>316</v>
      </c>
      <c r="I45" s="220">
        <v>40</v>
      </c>
    </row>
    <row r="46" spans="1:10" ht="15.95">
      <c r="A46" s="213">
        <v>5</v>
      </c>
      <c r="B46" s="227" t="s">
        <v>24</v>
      </c>
      <c r="C46" s="30">
        <v>100</v>
      </c>
      <c r="D46" s="214" t="s">
        <v>317</v>
      </c>
      <c r="E46" s="214" t="s">
        <v>308</v>
      </c>
      <c r="G46" s="286"/>
      <c r="H46" s="221" t="s">
        <v>318</v>
      </c>
      <c r="I46" s="215">
        <v>60</v>
      </c>
      <c r="J46" s="58"/>
    </row>
    <row r="47" spans="1:10" ht="15.95">
      <c r="A47" s="213">
        <v>6</v>
      </c>
      <c r="B47" s="227" t="s">
        <v>25</v>
      </c>
      <c r="C47" s="30">
        <v>100</v>
      </c>
      <c r="D47" s="214" t="s">
        <v>319</v>
      </c>
      <c r="E47" s="214" t="s">
        <v>308</v>
      </c>
      <c r="G47" s="286"/>
      <c r="H47" s="222" t="s">
        <v>320</v>
      </c>
      <c r="I47" s="215">
        <v>80</v>
      </c>
    </row>
    <row r="48" spans="1:10" ht="15.95">
      <c r="A48" s="213">
        <v>7</v>
      </c>
      <c r="B48" s="227" t="s">
        <v>26</v>
      </c>
      <c r="C48" s="30">
        <v>100</v>
      </c>
      <c r="D48" s="214" t="s">
        <v>321</v>
      </c>
      <c r="E48" s="214" t="s">
        <v>308</v>
      </c>
      <c r="G48" s="286"/>
      <c r="H48" s="221" t="s">
        <v>322</v>
      </c>
      <c r="I48" s="215">
        <v>100</v>
      </c>
    </row>
    <row r="49" spans="1:5" ht="15.95">
      <c r="A49" s="213">
        <v>8</v>
      </c>
      <c r="B49" s="227" t="s">
        <v>27</v>
      </c>
      <c r="C49" s="30">
        <v>60</v>
      </c>
      <c r="D49" s="214" t="s">
        <v>323</v>
      </c>
      <c r="E49" s="214" t="s">
        <v>324</v>
      </c>
    </row>
    <row r="50" spans="1:5" ht="15.95">
      <c r="A50" s="213">
        <v>9</v>
      </c>
      <c r="B50" s="226" t="s">
        <v>28</v>
      </c>
      <c r="C50" s="30">
        <v>60</v>
      </c>
      <c r="D50" s="214" t="s">
        <v>325</v>
      </c>
      <c r="E50" s="214" t="s">
        <v>308</v>
      </c>
    </row>
    <row r="51" spans="1:5" ht="15.95">
      <c r="A51" s="213">
        <v>10</v>
      </c>
      <c r="B51" s="227" t="s">
        <v>29</v>
      </c>
      <c r="C51" s="30">
        <v>100</v>
      </c>
      <c r="D51" s="214" t="s">
        <v>326</v>
      </c>
      <c r="E51" s="214" t="s">
        <v>308</v>
      </c>
    </row>
    <row r="52" spans="1:5" ht="15.95">
      <c r="A52" s="213">
        <v>11</v>
      </c>
      <c r="B52" s="227" t="s">
        <v>30</v>
      </c>
      <c r="C52" s="30">
        <v>60</v>
      </c>
      <c r="D52" s="214" t="s">
        <v>327</v>
      </c>
      <c r="E52" s="214" t="s">
        <v>308</v>
      </c>
    </row>
    <row r="53" spans="1:5" ht="15.95">
      <c r="A53" s="213">
        <v>12</v>
      </c>
      <c r="B53" s="227" t="s">
        <v>31</v>
      </c>
      <c r="C53" s="30">
        <v>80</v>
      </c>
      <c r="D53" s="214" t="s">
        <v>328</v>
      </c>
      <c r="E53" s="214" t="s">
        <v>308</v>
      </c>
    </row>
    <row r="54" spans="1:5" ht="15.95">
      <c r="A54" s="213">
        <v>13</v>
      </c>
      <c r="B54" s="227" t="s">
        <v>32</v>
      </c>
      <c r="C54" s="30">
        <v>40</v>
      </c>
      <c r="D54" s="214" t="s">
        <v>329</v>
      </c>
      <c r="E54" s="214"/>
    </row>
    <row r="55" spans="1:5" ht="15.95">
      <c r="A55" s="213">
        <v>14</v>
      </c>
      <c r="B55" s="228" t="s">
        <v>33</v>
      </c>
      <c r="C55" s="30">
        <v>80</v>
      </c>
      <c r="D55" s="217" t="s">
        <v>330</v>
      </c>
      <c r="E55" s="214" t="s">
        <v>331</v>
      </c>
    </row>
    <row r="56" spans="1:5" ht="15.95">
      <c r="A56" s="213">
        <v>15</v>
      </c>
      <c r="B56" s="227" t="s">
        <v>34</v>
      </c>
      <c r="C56" s="30">
        <v>80</v>
      </c>
      <c r="D56" s="214" t="s">
        <v>332</v>
      </c>
      <c r="E56" s="214" t="s">
        <v>308</v>
      </c>
    </row>
    <row r="57" spans="1:5" ht="15.95">
      <c r="A57" s="213">
        <v>16</v>
      </c>
      <c r="B57" s="226" t="s">
        <v>35</v>
      </c>
      <c r="C57" s="30">
        <v>20</v>
      </c>
      <c r="D57" s="214" t="s">
        <v>333</v>
      </c>
      <c r="E57" s="214" t="s">
        <v>308</v>
      </c>
    </row>
    <row r="58" spans="1:5" ht="15.95">
      <c r="A58" s="213">
        <v>17</v>
      </c>
      <c r="B58" s="226" t="s">
        <v>36</v>
      </c>
      <c r="C58" s="30">
        <v>60</v>
      </c>
      <c r="D58" s="214" t="s">
        <v>334</v>
      </c>
      <c r="E58" s="214" t="s">
        <v>308</v>
      </c>
    </row>
    <row r="59" spans="1:5" ht="15.95">
      <c r="A59" s="213">
        <v>18</v>
      </c>
      <c r="B59" s="226" t="s">
        <v>37</v>
      </c>
      <c r="C59" s="30">
        <v>60</v>
      </c>
      <c r="D59" s="214" t="s">
        <v>335</v>
      </c>
      <c r="E59" s="214" t="s">
        <v>308</v>
      </c>
    </row>
    <row r="60" spans="1:5" ht="15.95">
      <c r="A60" s="213">
        <v>19</v>
      </c>
      <c r="B60" s="226" t="s">
        <v>282</v>
      </c>
      <c r="C60" s="30">
        <v>100</v>
      </c>
      <c r="D60" s="214" t="s">
        <v>336</v>
      </c>
      <c r="E60" s="214" t="s">
        <v>308</v>
      </c>
    </row>
    <row r="61" spans="1:5" ht="15.95">
      <c r="A61" s="213">
        <v>20</v>
      </c>
      <c r="B61" s="226" t="s">
        <v>337</v>
      </c>
      <c r="C61" s="30">
        <v>80</v>
      </c>
      <c r="D61" s="214" t="s">
        <v>338</v>
      </c>
      <c r="E61" s="214" t="s">
        <v>308</v>
      </c>
    </row>
    <row r="62" spans="1:5" ht="15.95">
      <c r="A62" s="213">
        <v>21</v>
      </c>
      <c r="B62" s="218" t="s">
        <v>40</v>
      </c>
      <c r="C62" s="30">
        <v>60</v>
      </c>
      <c r="D62" s="218" t="s">
        <v>339</v>
      </c>
      <c r="E62" s="218" t="s">
        <v>308</v>
      </c>
    </row>
    <row r="63" spans="1:5" ht="15.95">
      <c r="A63" s="213">
        <v>22</v>
      </c>
      <c r="B63" s="226" t="s">
        <v>41</v>
      </c>
      <c r="C63" s="30">
        <v>60</v>
      </c>
      <c r="D63" s="214" t="s">
        <v>340</v>
      </c>
      <c r="E63" s="214" t="s">
        <v>308</v>
      </c>
    </row>
    <row r="64" spans="1:5" ht="15.95">
      <c r="A64" s="213">
        <v>23</v>
      </c>
      <c r="B64" s="226" t="s">
        <v>42</v>
      </c>
      <c r="C64" s="30">
        <v>100</v>
      </c>
      <c r="D64" s="214" t="s">
        <v>341</v>
      </c>
      <c r="E64" s="214" t="s">
        <v>308</v>
      </c>
    </row>
    <row r="65" spans="1:5" ht="15.95">
      <c r="A65" s="213">
        <v>24</v>
      </c>
      <c r="B65" s="226" t="s">
        <v>43</v>
      </c>
      <c r="C65" s="30">
        <v>100</v>
      </c>
      <c r="D65" s="214" t="s">
        <v>342</v>
      </c>
      <c r="E65" s="214" t="s">
        <v>308</v>
      </c>
    </row>
    <row r="66" spans="1:5" ht="15.95">
      <c r="A66" s="213">
        <v>25</v>
      </c>
      <c r="B66" s="226" t="s">
        <v>44</v>
      </c>
      <c r="C66" s="30">
        <v>100</v>
      </c>
      <c r="D66" s="214" t="s">
        <v>343</v>
      </c>
      <c r="E66" s="214" t="s">
        <v>308</v>
      </c>
    </row>
    <row r="67" spans="1:5" ht="15.95">
      <c r="A67" s="213">
        <v>26</v>
      </c>
      <c r="B67" s="218" t="s">
        <v>45</v>
      </c>
      <c r="C67" s="30">
        <v>80</v>
      </c>
      <c r="D67" s="214" t="s">
        <v>344</v>
      </c>
      <c r="E67" s="214" t="s">
        <v>308</v>
      </c>
    </row>
    <row r="68" spans="1:5" ht="15.95">
      <c r="A68" s="213">
        <v>27</v>
      </c>
      <c r="B68" s="226" t="s">
        <v>46</v>
      </c>
      <c r="C68" s="30">
        <v>40</v>
      </c>
      <c r="D68" s="214" t="s">
        <v>345</v>
      </c>
      <c r="E68" s="214" t="s">
        <v>346</v>
      </c>
    </row>
    <row r="69" spans="1:5" ht="15.95">
      <c r="A69" s="213">
        <v>28</v>
      </c>
      <c r="B69" s="227" t="s">
        <v>47</v>
      </c>
      <c r="C69" s="30">
        <v>100</v>
      </c>
      <c r="D69" s="214" t="s">
        <v>347</v>
      </c>
      <c r="E69" s="214" t="s">
        <v>308</v>
      </c>
    </row>
    <row r="70" spans="1:5" ht="15.95">
      <c r="A70" s="213">
        <v>29</v>
      </c>
      <c r="B70" s="226" t="s">
        <v>294</v>
      </c>
      <c r="C70" s="30">
        <v>80</v>
      </c>
      <c r="D70" s="214" t="s">
        <v>348</v>
      </c>
      <c r="E70" s="214" t="s">
        <v>308</v>
      </c>
    </row>
    <row r="71" spans="1:5" ht="15.95">
      <c r="A71" s="213">
        <v>30</v>
      </c>
      <c r="B71" s="226" t="s">
        <v>49</v>
      </c>
      <c r="C71" s="30">
        <v>60</v>
      </c>
      <c r="D71" s="214" t="s">
        <v>349</v>
      </c>
      <c r="E71" s="214" t="s">
        <v>350</v>
      </c>
    </row>
    <row r="72" spans="1:5" ht="15.95">
      <c r="A72" s="213">
        <v>31</v>
      </c>
      <c r="B72" s="226" t="s">
        <v>50</v>
      </c>
      <c r="C72" s="30">
        <v>20</v>
      </c>
      <c r="D72" s="214" t="s">
        <v>351</v>
      </c>
      <c r="E72" s="214" t="s">
        <v>308</v>
      </c>
    </row>
    <row r="73" spans="1:5" ht="15.95">
      <c r="A73" s="213">
        <v>32</v>
      </c>
      <c r="B73" s="226" t="s">
        <v>51</v>
      </c>
      <c r="C73" s="30">
        <v>60</v>
      </c>
      <c r="D73" s="217" t="s">
        <v>352</v>
      </c>
      <c r="E73" s="214" t="s">
        <v>308</v>
      </c>
    </row>
    <row r="74" spans="1:5" ht="15.95">
      <c r="A74" s="213">
        <v>33</v>
      </c>
      <c r="B74" s="226" t="s">
        <v>52</v>
      </c>
      <c r="C74" s="30">
        <v>100</v>
      </c>
      <c r="D74" s="214" t="s">
        <v>353</v>
      </c>
      <c r="E74" s="214" t="s">
        <v>308</v>
      </c>
    </row>
    <row r="75" spans="1:5" ht="15.95">
      <c r="A75" s="213">
        <v>34</v>
      </c>
      <c r="B75" s="226" t="s">
        <v>53</v>
      </c>
      <c r="C75" s="30">
        <v>0</v>
      </c>
      <c r="D75" s="214" t="s">
        <v>354</v>
      </c>
      <c r="E75" s="214" t="s">
        <v>355</v>
      </c>
    </row>
    <row r="76" spans="1:5" ht="15.95">
      <c r="A76" s="213">
        <v>35</v>
      </c>
      <c r="B76" s="226" t="s">
        <v>54</v>
      </c>
      <c r="C76" s="30">
        <v>60</v>
      </c>
      <c r="D76" s="214" t="s">
        <v>356</v>
      </c>
      <c r="E76" s="214" t="s">
        <v>308</v>
      </c>
    </row>
    <row r="77" spans="1:5" ht="14.45">
      <c r="B77" s="18"/>
      <c r="D77" s="17"/>
    </row>
    <row r="78" spans="1:5" ht="18.600000000000001">
      <c r="A78" s="289" t="s">
        <v>357</v>
      </c>
      <c r="B78" s="284" t="s">
        <v>358</v>
      </c>
      <c r="C78" s="285"/>
      <c r="D78" s="285"/>
      <c r="E78" s="285"/>
    </row>
    <row r="79" spans="1:5" ht="16.5">
      <c r="A79" s="289"/>
      <c r="B79" s="223" t="s">
        <v>124</v>
      </c>
      <c r="C79" s="223" t="s">
        <v>359</v>
      </c>
      <c r="D79" s="223" t="s">
        <v>360</v>
      </c>
      <c r="E79" s="223" t="s">
        <v>361</v>
      </c>
    </row>
    <row r="80" spans="1:5" ht="15.95">
      <c r="A80" s="31">
        <v>1</v>
      </c>
      <c r="B80" s="96" t="s">
        <v>18</v>
      </c>
      <c r="C80" s="224" cm="1">
        <f t="array" ref="C80:C114">C4:C38</f>
        <v>80</v>
      </c>
      <c r="D80" s="224" cm="1">
        <f t="array" ref="D80:D114">C42:C76</f>
        <v>80</v>
      </c>
      <c r="E80" s="95">
        <f>(C80*0.6)+(D80*0.4)</f>
        <v>80</v>
      </c>
    </row>
    <row r="81" spans="1:5" ht="15.95">
      <c r="A81" s="31">
        <v>2</v>
      </c>
      <c r="B81" s="97" t="s">
        <v>20</v>
      </c>
      <c r="C81" s="224">
        <v>80</v>
      </c>
      <c r="D81" s="224">
        <v>100</v>
      </c>
      <c r="E81" s="95">
        <f>(C81*0.6)+(D81*0.4)</f>
        <v>88</v>
      </c>
    </row>
    <row r="82" spans="1:5" ht="15.95">
      <c r="A82" s="31">
        <v>3</v>
      </c>
      <c r="B82" s="96" t="s">
        <v>21</v>
      </c>
      <c r="C82" s="224">
        <v>20</v>
      </c>
      <c r="D82" s="224">
        <v>40</v>
      </c>
      <c r="E82" s="95">
        <f t="shared" ref="E82:E92" si="0">(C82*0.6)+(D82*0.4)</f>
        <v>28</v>
      </c>
    </row>
    <row r="83" spans="1:5" ht="15.95">
      <c r="A83" s="31">
        <v>4</v>
      </c>
      <c r="B83" s="96" t="s">
        <v>23</v>
      </c>
      <c r="C83" s="224">
        <v>60</v>
      </c>
      <c r="D83" s="224">
        <v>80</v>
      </c>
      <c r="E83" s="95">
        <f t="shared" si="0"/>
        <v>68</v>
      </c>
    </row>
    <row r="84" spans="1:5" ht="15.95">
      <c r="A84" s="31">
        <v>5</v>
      </c>
      <c r="B84" s="96" t="s">
        <v>24</v>
      </c>
      <c r="C84" s="224">
        <v>100</v>
      </c>
      <c r="D84" s="224">
        <v>100</v>
      </c>
      <c r="E84" s="95">
        <f t="shared" si="0"/>
        <v>100</v>
      </c>
    </row>
    <row r="85" spans="1:5" ht="15.95">
      <c r="A85" s="31">
        <v>6</v>
      </c>
      <c r="B85" s="96" t="s">
        <v>25</v>
      </c>
      <c r="C85" s="224">
        <v>100</v>
      </c>
      <c r="D85" s="224">
        <v>100</v>
      </c>
      <c r="E85" s="95">
        <f t="shared" si="0"/>
        <v>100</v>
      </c>
    </row>
    <row r="86" spans="1:5" ht="15.95">
      <c r="A86" s="31">
        <v>7</v>
      </c>
      <c r="B86" s="96" t="s">
        <v>26</v>
      </c>
      <c r="C86" s="224">
        <v>100</v>
      </c>
      <c r="D86" s="224">
        <v>100</v>
      </c>
      <c r="E86" s="95">
        <f t="shared" si="0"/>
        <v>100</v>
      </c>
    </row>
    <row r="87" spans="1:5" ht="15.95">
      <c r="A87" s="31">
        <v>8</v>
      </c>
      <c r="B87" s="96" t="s">
        <v>27</v>
      </c>
      <c r="C87" s="224">
        <v>20</v>
      </c>
      <c r="D87" s="224">
        <v>60</v>
      </c>
      <c r="E87" s="95">
        <f t="shared" si="0"/>
        <v>36</v>
      </c>
    </row>
    <row r="88" spans="1:5" ht="15.95">
      <c r="A88" s="31">
        <v>9</v>
      </c>
      <c r="B88" s="97" t="s">
        <v>28</v>
      </c>
      <c r="C88" s="224">
        <v>60</v>
      </c>
      <c r="D88" s="224">
        <v>60</v>
      </c>
      <c r="E88" s="95">
        <f t="shared" si="0"/>
        <v>60</v>
      </c>
    </row>
    <row r="89" spans="1:5" ht="15.95">
      <c r="A89" s="31">
        <v>10</v>
      </c>
      <c r="B89" s="96" t="s">
        <v>29</v>
      </c>
      <c r="C89" s="224">
        <v>100</v>
      </c>
      <c r="D89" s="224">
        <v>100</v>
      </c>
      <c r="E89" s="95">
        <f t="shared" si="0"/>
        <v>100</v>
      </c>
    </row>
    <row r="90" spans="1:5" ht="15.95">
      <c r="A90" s="31">
        <v>11</v>
      </c>
      <c r="B90" s="96" t="s">
        <v>30</v>
      </c>
      <c r="C90" s="224">
        <v>20</v>
      </c>
      <c r="D90" s="224">
        <v>60</v>
      </c>
      <c r="E90" s="95">
        <f t="shared" si="0"/>
        <v>36</v>
      </c>
    </row>
    <row r="91" spans="1:5" ht="15.95">
      <c r="A91" s="31">
        <v>12</v>
      </c>
      <c r="B91" s="96" t="s">
        <v>31</v>
      </c>
      <c r="C91" s="224">
        <v>20</v>
      </c>
      <c r="D91" s="224">
        <v>80</v>
      </c>
      <c r="E91" s="95">
        <f t="shared" si="0"/>
        <v>44</v>
      </c>
    </row>
    <row r="92" spans="1:5" ht="15.95">
      <c r="A92" s="31">
        <v>13</v>
      </c>
      <c r="B92" s="96" t="s">
        <v>32</v>
      </c>
      <c r="C92" s="224">
        <v>40</v>
      </c>
      <c r="D92" s="224">
        <v>40</v>
      </c>
      <c r="E92" s="95">
        <f t="shared" si="0"/>
        <v>40</v>
      </c>
    </row>
    <row r="93" spans="1:5" ht="15.95">
      <c r="A93" s="31">
        <v>14</v>
      </c>
      <c r="B93" s="96" t="s">
        <v>33</v>
      </c>
      <c r="C93" s="224">
        <v>20</v>
      </c>
      <c r="D93" s="224">
        <v>80</v>
      </c>
      <c r="E93" s="95">
        <f t="shared" ref="E93:E114" si="1">(C93*0.6)+(D93*0.4)</f>
        <v>44</v>
      </c>
    </row>
    <row r="94" spans="1:5" ht="15.95">
      <c r="A94" s="31">
        <v>15</v>
      </c>
      <c r="B94" s="96" t="s">
        <v>34</v>
      </c>
      <c r="C94" s="224">
        <v>100</v>
      </c>
      <c r="D94" s="224">
        <v>80</v>
      </c>
      <c r="E94" s="95">
        <f t="shared" si="1"/>
        <v>92</v>
      </c>
    </row>
    <row r="95" spans="1:5" ht="15.95">
      <c r="A95" s="31">
        <v>16</v>
      </c>
      <c r="B95" s="97" t="s">
        <v>35</v>
      </c>
      <c r="C95" s="224">
        <v>40</v>
      </c>
      <c r="D95" s="224">
        <v>20</v>
      </c>
      <c r="E95" s="95">
        <f t="shared" si="1"/>
        <v>32</v>
      </c>
    </row>
    <row r="96" spans="1:5" ht="15.95">
      <c r="A96" s="31">
        <v>17</v>
      </c>
      <c r="B96" s="97" t="s">
        <v>36</v>
      </c>
      <c r="C96" s="224">
        <v>100</v>
      </c>
      <c r="D96" s="224">
        <v>60</v>
      </c>
      <c r="E96" s="95">
        <f t="shared" si="1"/>
        <v>84</v>
      </c>
    </row>
    <row r="97" spans="1:5" ht="15.95">
      <c r="A97" s="31">
        <v>18</v>
      </c>
      <c r="B97" s="97" t="s">
        <v>37</v>
      </c>
      <c r="C97" s="224">
        <v>20</v>
      </c>
      <c r="D97" s="224">
        <v>60</v>
      </c>
      <c r="E97" s="95">
        <f t="shared" si="1"/>
        <v>36</v>
      </c>
    </row>
    <row r="98" spans="1:5" ht="15.95">
      <c r="A98" s="31">
        <v>19</v>
      </c>
      <c r="B98" s="97" t="s">
        <v>38</v>
      </c>
      <c r="C98" s="224">
        <v>100</v>
      </c>
      <c r="D98" s="224">
        <v>100</v>
      </c>
      <c r="E98" s="95">
        <f t="shared" si="1"/>
        <v>100</v>
      </c>
    </row>
    <row r="99" spans="1:5" ht="15.95">
      <c r="A99" s="31">
        <v>20</v>
      </c>
      <c r="B99" s="97" t="s">
        <v>39</v>
      </c>
      <c r="C99" s="224">
        <v>100</v>
      </c>
      <c r="D99" s="224">
        <v>80</v>
      </c>
      <c r="E99" s="95">
        <f t="shared" si="1"/>
        <v>92</v>
      </c>
    </row>
    <row r="100" spans="1:5" ht="15.95">
      <c r="A100" s="31">
        <v>21</v>
      </c>
      <c r="B100" s="98" t="s">
        <v>40</v>
      </c>
      <c r="C100" s="224">
        <v>80</v>
      </c>
      <c r="D100" s="224">
        <v>60</v>
      </c>
      <c r="E100" s="95">
        <f t="shared" si="1"/>
        <v>72</v>
      </c>
    </row>
    <row r="101" spans="1:5" ht="15.95">
      <c r="A101" s="31">
        <v>22</v>
      </c>
      <c r="B101" s="97" t="s">
        <v>41</v>
      </c>
      <c r="C101" s="224">
        <v>60</v>
      </c>
      <c r="D101" s="224">
        <v>60</v>
      </c>
      <c r="E101" s="95">
        <f t="shared" si="1"/>
        <v>60</v>
      </c>
    </row>
    <row r="102" spans="1:5" ht="15.95">
      <c r="A102" s="31">
        <v>23</v>
      </c>
      <c r="B102" s="97" t="s">
        <v>42</v>
      </c>
      <c r="C102" s="224">
        <v>100</v>
      </c>
      <c r="D102" s="224">
        <v>100</v>
      </c>
      <c r="E102" s="95">
        <f t="shared" si="1"/>
        <v>100</v>
      </c>
    </row>
    <row r="103" spans="1:5" ht="15.95">
      <c r="A103" s="31">
        <v>24</v>
      </c>
      <c r="B103" s="97" t="s">
        <v>43</v>
      </c>
      <c r="C103" s="224">
        <v>100</v>
      </c>
      <c r="D103" s="224">
        <v>100</v>
      </c>
      <c r="E103" s="95">
        <f t="shared" si="1"/>
        <v>100</v>
      </c>
    </row>
    <row r="104" spans="1:5" ht="15.95">
      <c r="A104" s="31">
        <v>25</v>
      </c>
      <c r="B104" s="97" t="s">
        <v>44</v>
      </c>
      <c r="C104" s="224">
        <v>100</v>
      </c>
      <c r="D104" s="224">
        <v>100</v>
      </c>
      <c r="E104" s="95">
        <f t="shared" si="1"/>
        <v>100</v>
      </c>
    </row>
    <row r="105" spans="1:5" ht="15.95">
      <c r="A105" s="31">
        <v>26</v>
      </c>
      <c r="B105" s="98" t="s">
        <v>45</v>
      </c>
      <c r="C105" s="224">
        <v>40</v>
      </c>
      <c r="D105" s="224">
        <v>80</v>
      </c>
      <c r="E105" s="95">
        <f t="shared" si="1"/>
        <v>56</v>
      </c>
    </row>
    <row r="106" spans="1:5" ht="15.95">
      <c r="A106" s="31">
        <v>27</v>
      </c>
      <c r="B106" s="97" t="s">
        <v>46</v>
      </c>
      <c r="C106" s="224">
        <v>40</v>
      </c>
      <c r="D106" s="224">
        <v>40</v>
      </c>
      <c r="E106" s="95">
        <f t="shared" si="1"/>
        <v>40</v>
      </c>
    </row>
    <row r="107" spans="1:5" ht="15.95">
      <c r="A107" s="31">
        <v>28</v>
      </c>
      <c r="B107" s="96" t="s">
        <v>47</v>
      </c>
      <c r="C107" s="224">
        <v>100</v>
      </c>
      <c r="D107" s="224">
        <v>100</v>
      </c>
      <c r="E107" s="95">
        <f t="shared" si="1"/>
        <v>100</v>
      </c>
    </row>
    <row r="108" spans="1:5" ht="15.95">
      <c r="A108" s="31">
        <v>29</v>
      </c>
      <c r="B108" s="97" t="s">
        <v>48</v>
      </c>
      <c r="C108" s="224">
        <v>80</v>
      </c>
      <c r="D108" s="224">
        <v>80</v>
      </c>
      <c r="E108" s="95">
        <f t="shared" si="1"/>
        <v>80</v>
      </c>
    </row>
    <row r="109" spans="1:5" ht="15.95">
      <c r="A109" s="31">
        <v>30</v>
      </c>
      <c r="B109" s="97" t="s">
        <v>49</v>
      </c>
      <c r="C109" s="224">
        <v>20</v>
      </c>
      <c r="D109" s="224">
        <v>60</v>
      </c>
      <c r="E109" s="95">
        <f t="shared" si="1"/>
        <v>36</v>
      </c>
    </row>
    <row r="110" spans="1:5" ht="15.95">
      <c r="A110" s="31">
        <v>31</v>
      </c>
      <c r="B110" s="97" t="s">
        <v>50</v>
      </c>
      <c r="C110" s="224">
        <v>60</v>
      </c>
      <c r="D110" s="224">
        <v>20</v>
      </c>
      <c r="E110" s="95">
        <f t="shared" si="1"/>
        <v>44</v>
      </c>
    </row>
    <row r="111" spans="1:5" ht="15.95">
      <c r="A111" s="31">
        <v>32</v>
      </c>
      <c r="B111" s="97" t="s">
        <v>51</v>
      </c>
      <c r="C111" s="224">
        <v>40</v>
      </c>
      <c r="D111" s="224">
        <v>60</v>
      </c>
      <c r="E111" s="95">
        <f t="shared" si="1"/>
        <v>48</v>
      </c>
    </row>
    <row r="112" spans="1:5" ht="15.95">
      <c r="A112" s="31">
        <v>33</v>
      </c>
      <c r="B112" s="99" t="s">
        <v>52</v>
      </c>
      <c r="C112" s="224">
        <v>80</v>
      </c>
      <c r="D112" s="224">
        <v>100</v>
      </c>
      <c r="E112" s="95">
        <f t="shared" si="1"/>
        <v>88</v>
      </c>
    </row>
    <row r="113" spans="1:5" ht="15.95">
      <c r="A113" s="31">
        <v>34</v>
      </c>
      <c r="B113" s="99" t="s">
        <v>53</v>
      </c>
      <c r="C113" s="224">
        <v>20</v>
      </c>
      <c r="D113" s="224">
        <v>0</v>
      </c>
      <c r="E113" s="95">
        <f t="shared" si="1"/>
        <v>12</v>
      </c>
    </row>
    <row r="114" spans="1:5" ht="15.95">
      <c r="A114" s="31">
        <v>35</v>
      </c>
      <c r="B114" s="99" t="s">
        <v>54</v>
      </c>
      <c r="C114" s="224">
        <v>80</v>
      </c>
      <c r="D114" s="224">
        <v>60</v>
      </c>
      <c r="E114" s="95">
        <f t="shared" si="1"/>
        <v>72</v>
      </c>
    </row>
    <row r="116" spans="1:5" ht="14.45"/>
    <row r="117" spans="1:5" ht="14.45"/>
  </sheetData>
  <mergeCells count="9">
    <mergeCell ref="A1:E1"/>
    <mergeCell ref="A2:E2"/>
    <mergeCell ref="B78:E78"/>
    <mergeCell ref="G43:G48"/>
    <mergeCell ref="G41:I41"/>
    <mergeCell ref="G3:I3"/>
    <mergeCell ref="A78:A79"/>
    <mergeCell ref="A40:E40"/>
    <mergeCell ref="G5:G10"/>
  </mergeCells>
  <dataValidations count="1">
    <dataValidation type="list" allowBlank="1" errorTitle="Puntaje Inválido" error="El puntaje debe ser uno de los permitidos en el marco de evaluación (0, 20, 60, 80, 100)" promptTitle="Asignar Puntaje" prompt="Seleccione un puntaje de la lista" sqref="C79:C114" xr:uid="{E4F6D1AB-2414-4A63-B83C-2FAE4060507D}">
      <formula1>#REF!</formula1>
    </dataValidation>
  </dataValidations>
  <pageMargins left="0.75" right="0.75" top="1" bottom="1" header="0.5" footer="0.5"/>
  <headerFooter>
    <oddFooter>&amp;L_x000D_&amp;1#&amp;"Aptos"&amp;10&amp;K000000 Informacion publica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D69D-4426-4493-A62D-38A9958B57E5}">
  <dimension ref="A1:Q56"/>
  <sheetViews>
    <sheetView topLeftCell="A29" zoomScale="45" zoomScaleNormal="45" workbookViewId="0">
      <selection activeCell="C49" sqref="C49"/>
    </sheetView>
  </sheetViews>
  <sheetFormatPr defaultColWidth="11.42578125" defaultRowHeight="15" customHeight="1"/>
  <cols>
    <col min="1" max="1" width="5.85546875" style="34" customWidth="1"/>
    <col min="2" max="2" width="32.28515625" customWidth="1"/>
    <col min="3" max="3" width="25.42578125" style="13" customWidth="1"/>
    <col min="4" max="4" width="24.85546875" style="14" customWidth="1"/>
    <col min="5" max="5" width="11.42578125" style="11" customWidth="1"/>
    <col min="6" max="6" width="28.28515625" customWidth="1"/>
    <col min="7" max="7" width="11.42578125" customWidth="1"/>
    <col min="8" max="8" width="18.140625" style="12" customWidth="1"/>
    <col min="9" max="9" width="19.42578125" customWidth="1"/>
    <col min="10" max="10" width="24.42578125" customWidth="1"/>
    <col min="11" max="11" width="29.28515625" customWidth="1"/>
    <col min="12" max="12" width="18.28515625" style="12" customWidth="1"/>
    <col min="13" max="14" width="15.85546875" customWidth="1"/>
    <col min="15" max="15" width="28.5703125" bestFit="1" customWidth="1"/>
    <col min="16" max="16" width="13.85546875" bestFit="1" customWidth="1"/>
    <col min="17" max="17" width="11.42578125" style="34"/>
    <col min="18" max="18" width="13.85546875" style="34" bestFit="1" customWidth="1"/>
    <col min="19" max="16384" width="11.42578125" style="34"/>
  </cols>
  <sheetData>
    <row r="1" spans="1:17" ht="32.25" customHeight="1">
      <c r="A1" s="291" t="s">
        <v>362</v>
      </c>
      <c r="B1" s="291"/>
      <c r="C1" s="291"/>
      <c r="D1" s="291"/>
      <c r="E1" s="291"/>
      <c r="F1" s="291"/>
      <c r="G1" s="291"/>
      <c r="H1" s="291"/>
      <c r="I1" s="291"/>
      <c r="J1" s="291"/>
      <c r="K1" s="291"/>
      <c r="L1" s="291"/>
      <c r="M1" s="291"/>
      <c r="N1" s="291"/>
      <c r="O1" s="291"/>
      <c r="P1" s="291"/>
    </row>
    <row r="2" spans="1:17" s="35" customFormat="1" ht="35.25">
      <c r="A2" s="100" t="s">
        <v>357</v>
      </c>
      <c r="B2" s="101" t="s">
        <v>363</v>
      </c>
      <c r="C2" s="119" t="s">
        <v>364</v>
      </c>
      <c r="D2" s="120" t="s">
        <v>365</v>
      </c>
      <c r="E2" s="121" t="s">
        <v>366</v>
      </c>
      <c r="F2" s="122" t="s">
        <v>367</v>
      </c>
      <c r="G2" s="121" t="s">
        <v>368</v>
      </c>
      <c r="H2" s="1" t="s">
        <v>369</v>
      </c>
      <c r="I2" s="122" t="s">
        <v>370</v>
      </c>
      <c r="J2" s="120" t="s">
        <v>371</v>
      </c>
      <c r="K2" s="123" t="s">
        <v>372</v>
      </c>
      <c r="L2" s="124" t="s">
        <v>373</v>
      </c>
      <c r="M2" s="124" t="s">
        <v>374</v>
      </c>
      <c r="N2" s="124" t="s">
        <v>375</v>
      </c>
      <c r="O2" s="1" t="s">
        <v>376</v>
      </c>
      <c r="P2" s="90" t="s">
        <v>377</v>
      </c>
    </row>
    <row r="3" spans="1:17" ht="14.45">
      <c r="A3" s="144">
        <v>1</v>
      </c>
      <c r="B3" s="73" t="s">
        <v>18</v>
      </c>
      <c r="C3" s="45">
        <v>219102403.80000001</v>
      </c>
      <c r="D3" s="4">
        <f t="shared" ref="D3:D37" si="0">+C3/$C$38</f>
        <v>9.7308542242550825E-2</v>
      </c>
      <c r="E3" s="72">
        <f>+IF(D3&gt;$E$44,50,IF(AND(D3&gt;$E$45,D3&lt;=$E$44),40,IF(AND(D3&gt;$E$46,D3&lt;=$E$45),30,IF(AND(D3&gt;$E$47,D3&lt;=$E$46),20,10))))</f>
        <v>50</v>
      </c>
      <c r="F3" s="81">
        <v>1.0148010658976199</v>
      </c>
      <c r="G3" s="73">
        <f>+IF(F3&gt;$E$52,50,IF(AND(F3&gt;$E$53,F3&lt;=$E$52),40,IF(AND(F3&gt;$E$54,F3&lt;=$E$53),30,IF(AND(F3&gt;$E$55,F3&lt;=$E$54),20,10))))</f>
        <v>30</v>
      </c>
      <c r="H3" s="33">
        <f t="shared" ref="H3:H37" si="1">+E3+G3</f>
        <v>80</v>
      </c>
      <c r="I3" s="76">
        <v>24436844</v>
      </c>
      <c r="J3" s="77">
        <f>+I3/$I$38</f>
        <v>2.2574829237467765E-2</v>
      </c>
      <c r="K3" s="76">
        <v>1112398481</v>
      </c>
      <c r="L3" s="32">
        <f>+IF(J3&gt;$M$44,50,IF(AND(J3&gt;$M$45,J3&lt;=$M$44),40,IF(AND(J3&gt;$M$46,J3&lt;=$M$45),30,IF(AND(J3&gt;$M$47,J3&lt;=$M$46),20,10))))</f>
        <v>50</v>
      </c>
      <c r="M3" s="7">
        <f t="shared" ref="M3:M37" si="2">+(I3/$I$38)/(K3/$K$38)</f>
        <v>0.21979947575058678</v>
      </c>
      <c r="N3" s="5">
        <f>+IF(M3&gt;$M$52,50,IF(AND(M3&gt;$M$53,M3&lt;=$M$52),40,IF(AND(M3&gt;$M$54,M3&lt;=$M$53),30,IF(AND(M3&gt;$M$55,M3&lt;=$M$54),20,10))))</f>
        <v>20</v>
      </c>
      <c r="O3" s="6">
        <f>+L3+N3</f>
        <v>70</v>
      </c>
      <c r="P3" s="91">
        <f>+(H3+O3)/2</f>
        <v>75</v>
      </c>
      <c r="Q3"/>
    </row>
    <row r="4" spans="1:17" ht="14.45">
      <c r="A4" s="44">
        <v>2</v>
      </c>
      <c r="B4" s="73" t="s">
        <v>20</v>
      </c>
      <c r="C4" s="45">
        <v>11188686</v>
      </c>
      <c r="D4" s="4">
        <f t="shared" si="0"/>
        <v>4.9691591939971082E-3</v>
      </c>
      <c r="E4" s="72">
        <f>+IF(D4&gt;$E$44,50,IF(AND(D4&gt;$E$45,D4&lt;=$E$44),40,IF(AND(D4&gt;$E$46,D4&lt;=$E$45),30,IF(AND(D4&gt;$E$47,D4&lt;=$E$46),20,10))))</f>
        <v>30</v>
      </c>
      <c r="F4" s="81">
        <v>0.9047348267845472</v>
      </c>
      <c r="G4" s="73">
        <f>+IF(F4&gt;$E$52,50,IF(AND(F4&gt;$E$53,F4&lt;=$E$52),40,IF(AND(F4&gt;$E$54,F4&lt;=$E$53),30,IF(AND(F4&gt;$E$55,F4&lt;=$E$54),20,10))))</f>
        <v>10</v>
      </c>
      <c r="H4" s="33">
        <f t="shared" si="1"/>
        <v>40</v>
      </c>
      <c r="I4" s="76">
        <v>3229170</v>
      </c>
      <c r="J4" s="77">
        <f t="shared" ref="J4:J37" si="3">+I4/$I$38</f>
        <v>2.9831168594747254E-3</v>
      </c>
      <c r="K4" s="76">
        <v>52720358</v>
      </c>
      <c r="L4" s="32">
        <f>+IF(J4&gt;$M$44,50,IF(AND(J4&gt;$M$45,J4&lt;=$M$44),40,IF(AND(J4&gt;$M$46,J4&lt;=$M$45),30,IF(AND(J4&gt;$M$47,J4&lt;=$M$46),20,10))))</f>
        <v>40</v>
      </c>
      <c r="M4" s="7">
        <f t="shared" si="2"/>
        <v>0.61285041061735124</v>
      </c>
      <c r="N4" s="5">
        <f>+IF(M4&gt;$M$52,50,IF(AND(M4&gt;$M$53,M4&lt;=$M$52),40,IF(AND(M4&gt;$M$54,M4&lt;=$M$53),30,IF(AND(M4&gt;$M$55,M4&lt;=$M$54),20,10))))</f>
        <v>40</v>
      </c>
      <c r="O4" s="6">
        <f t="shared" ref="O4:O37" si="4">+L4+N4</f>
        <v>80</v>
      </c>
      <c r="P4" s="91">
        <f t="shared" ref="P4:P37" si="5">+(H4+O4)/2</f>
        <v>60</v>
      </c>
      <c r="Q4"/>
    </row>
    <row r="5" spans="1:17" ht="14.45">
      <c r="A5" s="44">
        <v>3</v>
      </c>
      <c r="B5" s="73" t="s">
        <v>21</v>
      </c>
      <c r="C5" s="45">
        <v>7033539.2000000002</v>
      </c>
      <c r="D5" s="4">
        <f t="shared" si="0"/>
        <v>3.123760554368857E-3</v>
      </c>
      <c r="E5" s="72">
        <f>+IF(D5&gt;$E$44,50,IF(AND(D5&gt;$E$45,D5&lt;=$E$44),40,IF(AND(D5&gt;$E$46,D5&lt;=$E$45),30,IF(AND(D5&gt;$E$47,D5&lt;=$E$46),20,10))))</f>
        <v>30</v>
      </c>
      <c r="F5" s="81">
        <v>1.025166673663608</v>
      </c>
      <c r="G5" s="73">
        <f>+IF(F5&gt;$E$52,50,IF(AND(F5&gt;$E$53,F5&lt;=$E$52),40,IF(AND(F5&gt;$E$54,F5&lt;=$E$53),30,IF(AND(F5&gt;$E$55,F5&lt;=$E$54),20,10))))</f>
        <v>30</v>
      </c>
      <c r="H5" s="33">
        <f t="shared" si="1"/>
        <v>60</v>
      </c>
      <c r="I5" s="76">
        <v>131915</v>
      </c>
      <c r="J5" s="77">
        <f t="shared" si="3"/>
        <v>1.2186346972058095E-4</v>
      </c>
      <c r="K5" s="76">
        <v>26221608</v>
      </c>
      <c r="L5" s="32">
        <f>+IF(J5&gt;$M$44,50,IF(AND(J5&gt;$M$45,J5&lt;=$M$44),40,IF(AND(J5&gt;$M$46,J5&lt;=$M$45),30,IF(AND(J5&gt;$M$47,J5&lt;=$M$46),20,10))))</f>
        <v>20</v>
      </c>
      <c r="M5" s="7">
        <f t="shared" si="2"/>
        <v>5.0335777843764584E-2</v>
      </c>
      <c r="N5" s="5">
        <f>+IF(M5&gt;$M$52,50,IF(AND(M5&gt;$M$53,M5&lt;=$M$52),40,IF(AND(M5&gt;$M$54,M5&lt;=$M$53),30,IF(AND(M5&gt;$M$55,M5&lt;=$M$54),20,10))))</f>
        <v>10</v>
      </c>
      <c r="O5" s="6">
        <f t="shared" si="4"/>
        <v>30</v>
      </c>
      <c r="P5" s="91">
        <f t="shared" si="5"/>
        <v>45</v>
      </c>
      <c r="Q5"/>
    </row>
    <row r="6" spans="1:17" ht="14.45">
      <c r="A6" s="44">
        <v>4</v>
      </c>
      <c r="B6" s="73" t="s">
        <v>23</v>
      </c>
      <c r="C6" s="45">
        <v>867236.2</v>
      </c>
      <c r="D6" s="4">
        <f t="shared" si="0"/>
        <v>3.8516003904275401E-4</v>
      </c>
      <c r="E6" s="72">
        <f>+IF(D6&gt;$E$44,50,IF(AND(D6&gt;$E$45,D6&lt;=$E$44),40,IF(AND(D6&gt;$E$46,D6&lt;=$E$45),30,IF(AND(D6&gt;$E$47,D6&lt;=$E$46),20,10))))</f>
        <v>10</v>
      </c>
      <c r="F6" s="81">
        <v>1.0055946572217072</v>
      </c>
      <c r="G6" s="73">
        <f>+IF(F6&gt;$E$52,50,IF(AND(F6&gt;$E$53,F6&lt;=$E$52),40,IF(AND(F6&gt;$E$54,F6&lt;=$E$53),30,IF(AND(F6&gt;$E$55,F6&lt;=$E$54),20,10))))</f>
        <v>30</v>
      </c>
      <c r="H6" s="33">
        <f t="shared" si="1"/>
        <v>40</v>
      </c>
      <c r="I6" s="76">
        <v>183574</v>
      </c>
      <c r="J6" s="77">
        <f t="shared" si="3"/>
        <v>1.6958620771319357E-4</v>
      </c>
      <c r="K6" s="76">
        <v>3843814</v>
      </c>
      <c r="L6" s="32">
        <f>+IF(J6&gt;$M$44,50,IF(AND(J6&gt;$M$45,J6&lt;=$M$44),40,IF(AND(J6&gt;$M$46,J6&lt;=$M$45),30,IF(AND(J6&gt;$M$47,J6&lt;=$M$46),20,10))))</f>
        <v>20</v>
      </c>
      <c r="M6" s="7">
        <f t="shared" si="2"/>
        <v>0.47784905324484239</v>
      </c>
      <c r="N6" s="5">
        <f>+IF(M6&gt;$M$52,50,IF(AND(M6&gt;$M$53,M6&lt;=$M$52),40,IF(AND(M6&gt;$M$54,M6&lt;=$M$53),30,IF(AND(M6&gt;$M$55,M6&lt;=$M$54),20,10))))</f>
        <v>30</v>
      </c>
      <c r="O6" s="6">
        <f t="shared" si="4"/>
        <v>50</v>
      </c>
      <c r="P6" s="91">
        <f t="shared" si="5"/>
        <v>45</v>
      </c>
      <c r="Q6"/>
    </row>
    <row r="7" spans="1:17" ht="14.45">
      <c r="A7" s="44">
        <v>5</v>
      </c>
      <c r="B7" s="73" t="s">
        <v>24</v>
      </c>
      <c r="C7" s="45">
        <v>1806154.8</v>
      </c>
      <c r="D7" s="4">
        <f t="shared" si="0"/>
        <v>8.0215592163387277E-4</v>
      </c>
      <c r="E7" s="72">
        <f>+IF(D7&gt;$E$44,50,IF(AND(D7&gt;$E$45,D7&lt;=$E$44),40,IF(AND(D7&gt;$E$46,D7&lt;=$E$45),30,IF(AND(D7&gt;$E$47,D7&lt;=$E$46),20,10))))</f>
        <v>10</v>
      </c>
      <c r="F7" s="81">
        <v>0.98858757643424477</v>
      </c>
      <c r="G7" s="73">
        <f>+IF(F7&gt;$E$52,50,IF(AND(F7&gt;$E$53,F7&lt;=$E$52),40,IF(AND(F7&gt;$E$54,F7&lt;=$E$53),30,IF(AND(F7&gt;$E$55,F7&lt;=$E$54),20,10))))</f>
        <v>20</v>
      </c>
      <c r="H7" s="33">
        <f t="shared" si="1"/>
        <v>30</v>
      </c>
      <c r="I7" s="76">
        <v>86338</v>
      </c>
      <c r="J7" s="77">
        <f t="shared" si="3"/>
        <v>7.9759301434526164E-5</v>
      </c>
      <c r="K7" s="76">
        <v>7088396</v>
      </c>
      <c r="L7" s="32">
        <f>+IF(J7&gt;$M$44,50,IF(AND(J7&gt;$M$45,J7&lt;=$M$44),40,IF(AND(J7&gt;$M$46,J7&lt;=$M$45),30,IF(AND(J7&gt;$M$47,J7&lt;=$M$46),20,10))))</f>
        <v>10</v>
      </c>
      <c r="M7" s="7">
        <f t="shared" si="2"/>
        <v>0.12186975422310403</v>
      </c>
      <c r="N7" s="5">
        <f>+IF(M7&gt;$M$52,50,IF(AND(M7&gt;$M$53,M7&lt;=$M$52),40,IF(AND(M7&gt;$M$54,M7&lt;=$M$53),30,IF(AND(M7&gt;$M$55,M7&lt;=$M$54),20,10))))</f>
        <v>20</v>
      </c>
      <c r="O7" s="6">
        <f t="shared" si="4"/>
        <v>30</v>
      </c>
      <c r="P7" s="91">
        <f t="shared" si="5"/>
        <v>30</v>
      </c>
      <c r="Q7"/>
    </row>
    <row r="8" spans="1:17" ht="14.45">
      <c r="A8" s="44">
        <v>6</v>
      </c>
      <c r="B8" s="73" t="s">
        <v>25</v>
      </c>
      <c r="C8" s="45">
        <v>210176416.80000001</v>
      </c>
      <c r="D8" s="4">
        <f t="shared" si="0"/>
        <v>9.3344301011136471E-2</v>
      </c>
      <c r="E8" s="72">
        <f>+IF(D8&gt;$E$44,50,IF(AND(D8&gt;$E$45,D8&lt;=$E$44),40,IF(AND(D8&gt;$E$46,D8&lt;=$E$45),30,IF(AND(D8&gt;$E$47,D8&lt;=$E$46),20,10))))</f>
        <v>50</v>
      </c>
      <c r="F8" s="81">
        <v>0.95442308388294639</v>
      </c>
      <c r="G8" s="73">
        <f>+IF(F8&gt;$E$52,50,IF(AND(F8&gt;$E$53,F8&lt;=$E$52),40,IF(AND(F8&gt;$E$54,F8&lt;=$E$53),30,IF(AND(F8&gt;$E$55,F8&lt;=$E$54),20,10))))</f>
        <v>20</v>
      </c>
      <c r="H8" s="33">
        <f t="shared" si="1"/>
        <v>70</v>
      </c>
      <c r="I8" s="76">
        <v>40636310</v>
      </c>
      <c r="J8" s="77">
        <f t="shared" si="3"/>
        <v>3.7539944155260137E-2</v>
      </c>
      <c r="K8" s="76">
        <v>908772366</v>
      </c>
      <c r="L8" s="32">
        <f>+IF(J8&gt;$M$44,50,IF(AND(J8&gt;$M$45,J8&lt;=$M$44),40,IF(AND(J8&gt;$M$46,J8&lt;=$M$45),30,IF(AND(J8&gt;$M$47,J8&lt;=$M$46),20,10))))</f>
        <v>50</v>
      </c>
      <c r="M8" s="7">
        <f t="shared" si="2"/>
        <v>0.44740524927091074</v>
      </c>
      <c r="N8" s="5">
        <f>+IF(M8&gt;$M$52,50,IF(AND(M8&gt;$M$53,M8&lt;=$M$52),40,IF(AND(M8&gt;$M$54,M8&lt;=$M$53),30,IF(AND(M8&gt;$M$55,M8&lt;=$M$54),20,10))))</f>
        <v>30</v>
      </c>
      <c r="O8" s="6">
        <f t="shared" si="4"/>
        <v>80</v>
      </c>
      <c r="P8" s="91">
        <f t="shared" si="5"/>
        <v>75</v>
      </c>
      <c r="Q8"/>
    </row>
    <row r="9" spans="1:17" ht="14.45">
      <c r="A9" s="44">
        <v>7</v>
      </c>
      <c r="B9" s="73" t="s">
        <v>26</v>
      </c>
      <c r="C9" s="45">
        <v>315672919</v>
      </c>
      <c r="D9" s="4">
        <f t="shared" si="0"/>
        <v>0.14019778441764785</v>
      </c>
      <c r="E9" s="72">
        <f>+IF(D9&gt;$E$44,50,IF(AND(D9&gt;$E$45,D9&lt;=$E$44),40,IF(AND(D9&gt;$E$46,D9&lt;=$E$45),30,IF(AND(D9&gt;$E$47,D9&lt;=$E$46),20,10))))</f>
        <v>50</v>
      </c>
      <c r="F9" s="81">
        <v>1.0324348219205783</v>
      </c>
      <c r="G9" s="73">
        <f>+IF(F9&gt;$E$52,50,IF(AND(F9&gt;$E$53,F9&lt;=$E$52),40,IF(AND(F9&gt;$E$54,F9&lt;=$E$53),30,IF(AND(F9&gt;$E$55,F9&lt;=$E$54),20,10))))</f>
        <v>30</v>
      </c>
      <c r="H9" s="33">
        <f t="shared" si="1"/>
        <v>80</v>
      </c>
      <c r="I9" s="76">
        <v>424981154</v>
      </c>
      <c r="J9" s="77">
        <f t="shared" si="3"/>
        <v>0.39259885526510668</v>
      </c>
      <c r="K9" s="76">
        <v>1520379256</v>
      </c>
      <c r="L9" s="32">
        <f>+IF(J9&gt;$M$44,50,IF(AND(J9&gt;$M$45,J9&lt;=$M$44),40,IF(AND(J9&gt;$M$46,J9&lt;=$M$45),30,IF(AND(J9&gt;$M$47,J9&lt;=$M$46),20,10))))</f>
        <v>50</v>
      </c>
      <c r="M9" s="7">
        <f t="shared" si="2"/>
        <v>2.7967887177326669</v>
      </c>
      <c r="N9" s="5">
        <f>+IF(M9&gt;$M$52,50,IF(AND(M9&gt;$M$53,M9&lt;=$M$52),40,IF(AND(M9&gt;$M$54,M9&lt;=$M$53),30,IF(AND(M9&gt;$M$55,M9&lt;=$M$54),20,10))))</f>
        <v>50</v>
      </c>
      <c r="O9" s="6">
        <f t="shared" si="4"/>
        <v>100</v>
      </c>
      <c r="P9" s="91">
        <f t="shared" si="5"/>
        <v>90</v>
      </c>
      <c r="Q9"/>
    </row>
    <row r="10" spans="1:17" ht="14.45">
      <c r="A10" s="44">
        <v>8</v>
      </c>
      <c r="B10" s="73" t="s">
        <v>27</v>
      </c>
      <c r="C10" s="45">
        <v>6136999.2000000002</v>
      </c>
      <c r="D10" s="4">
        <f t="shared" si="0"/>
        <v>2.7255860069925011E-3</v>
      </c>
      <c r="E10" s="72">
        <f>+IF(D10&gt;$E$44,50,IF(AND(D10&gt;$E$45,D10&lt;=$E$44),40,IF(AND(D10&gt;$E$46,D10&lt;=$E$45),30,IF(AND(D10&gt;$E$47,D10&lt;=$E$46),20,10))))</f>
        <v>20</v>
      </c>
      <c r="F10" s="81">
        <v>1.2201510692974264</v>
      </c>
      <c r="G10" s="73">
        <f>+IF(F10&gt;$E$52,50,IF(AND(F10&gt;$E$53,F10&lt;=$E$52),40,IF(AND(F10&gt;$E$54,F10&lt;=$E$53),30,IF(AND(F10&gt;$E$55,F10&lt;=$E$54),20,10))))</f>
        <v>50</v>
      </c>
      <c r="H10" s="33">
        <f t="shared" si="1"/>
        <v>70</v>
      </c>
      <c r="I10" s="76">
        <v>25993</v>
      </c>
      <c r="J10" s="77">
        <f t="shared" si="3"/>
        <v>2.4012410783057733E-5</v>
      </c>
      <c r="K10" s="76">
        <v>26030404</v>
      </c>
      <c r="L10" s="32">
        <f>+IF(J10&gt;$M$44,50,IF(AND(J10&gt;$M$45,J10&lt;=$M$44),40,IF(AND(J10&gt;$M$46,J10&lt;=$M$45),30,IF(AND(J10&gt;$M$47,J10&lt;=$M$46),20,10))))</f>
        <v>10</v>
      </c>
      <c r="M10" s="7">
        <f t="shared" si="2"/>
        <v>9.991194677778115E-3</v>
      </c>
      <c r="N10" s="5">
        <f>+IF(M10&gt;$M$52,50,IF(AND(M10&gt;$M$53,M10&lt;=$M$52),40,IF(AND(M10&gt;$M$54,M10&lt;=$M$53),30,IF(AND(M10&gt;$M$55,M10&lt;=$M$54),20,10))))</f>
        <v>10</v>
      </c>
      <c r="O10" s="6">
        <f t="shared" si="4"/>
        <v>20</v>
      </c>
      <c r="P10" s="91">
        <f t="shared" si="5"/>
        <v>45</v>
      </c>
      <c r="Q10"/>
    </row>
    <row r="11" spans="1:17" ht="14.45">
      <c r="A11" s="44">
        <v>9</v>
      </c>
      <c r="B11" s="73" t="s">
        <v>378</v>
      </c>
      <c r="C11" s="45">
        <v>3127099</v>
      </c>
      <c r="D11" s="4">
        <f t="shared" si="0"/>
        <v>1.3888183783501624E-3</v>
      </c>
      <c r="E11" s="72">
        <f>+IF(D11&gt;$E$44,50,IF(AND(D11&gt;$E$45,D11&lt;=$E$44),40,IF(AND(D11&gt;$E$46,D11&lt;=$E$45),30,IF(AND(D11&gt;$E$47,D11&lt;=$E$46),20,10))))</f>
        <v>20</v>
      </c>
      <c r="F11" s="81">
        <v>1.0551313090418382</v>
      </c>
      <c r="G11" s="73">
        <f>+IF(F11&gt;$E$52,50,IF(AND(F11&gt;$E$53,F11&lt;=$E$52),40,IF(AND(F11&gt;$E$54,F11&lt;=$E$53),30,IF(AND(F11&gt;$E$55,F11&lt;=$E$54),20,10))))</f>
        <v>40</v>
      </c>
      <c r="H11" s="33">
        <f t="shared" si="1"/>
        <v>60</v>
      </c>
      <c r="I11" s="76">
        <v>14486</v>
      </c>
      <c r="J11" s="77">
        <f t="shared" si="3"/>
        <v>1.3382209925879057E-5</v>
      </c>
      <c r="K11" s="76">
        <v>12063798</v>
      </c>
      <c r="L11" s="32">
        <f>+IF(J11&gt;$M$44,50,IF(AND(J11&gt;$M$45,J11&lt;=$M$44),40,IF(AND(J11&gt;$M$46,J11&lt;=$M$45),30,IF(AND(J11&gt;$M$47,J11&lt;=$M$46),20,10))))</f>
        <v>10</v>
      </c>
      <c r="M11" s="7">
        <f t="shared" si="2"/>
        <v>1.201451785737034E-2</v>
      </c>
      <c r="N11" s="5">
        <f>+IF(M11&gt;$M$52,50,IF(AND(M11&gt;$M$53,M11&lt;=$M$52),40,IF(AND(M11&gt;$M$54,M11&lt;=$M$53),30,IF(AND(M11&gt;$M$55,M11&lt;=$M$54),20,10))))</f>
        <v>10</v>
      </c>
      <c r="O11" s="6">
        <f t="shared" si="4"/>
        <v>20</v>
      </c>
      <c r="P11" s="91">
        <f t="shared" si="5"/>
        <v>40</v>
      </c>
      <c r="Q11"/>
    </row>
    <row r="12" spans="1:17" ht="14.45">
      <c r="A12" s="44">
        <v>10</v>
      </c>
      <c r="B12" s="73" t="s">
        <v>29</v>
      </c>
      <c r="C12" s="45">
        <v>5785050</v>
      </c>
      <c r="D12" s="4">
        <f t="shared" si="0"/>
        <v>2.5692770710727762E-3</v>
      </c>
      <c r="E12" s="72">
        <f>+IF(D12&gt;$E$44,50,IF(AND(D12&gt;$E$45,D12&lt;=$E$44),40,IF(AND(D12&gt;$E$46,D12&lt;=$E$45),30,IF(AND(D12&gt;$E$47,D12&lt;=$E$46),20,10))))</f>
        <v>20</v>
      </c>
      <c r="F12" s="81">
        <v>1.0467408256145514</v>
      </c>
      <c r="G12" s="73">
        <f>+IF(F12&gt;$E$52,50,IF(AND(F12&gt;$E$53,F12&lt;=$E$52),40,IF(AND(F12&gt;$E$54,F12&lt;=$E$53),30,IF(AND(F12&gt;$E$55,F12&lt;=$E$54),20,10))))</f>
        <v>40</v>
      </c>
      <c r="H12" s="33">
        <f t="shared" si="1"/>
        <v>60</v>
      </c>
      <c r="I12" s="76">
        <v>671404</v>
      </c>
      <c r="J12" s="77">
        <f t="shared" si="3"/>
        <v>6.2024501401870098E-4</v>
      </c>
      <c r="K12" s="76">
        <v>39868835</v>
      </c>
      <c r="L12" s="32">
        <f>+IF(J12&gt;$M$44,50,IF(AND(J12&gt;$M$45,J12&lt;=$M$44),40,IF(AND(J12&gt;$M$46,J12&lt;=$M$45),30,IF(AND(J12&gt;$M$47,J12&lt;=$M$46),20,10))))</f>
        <v>30</v>
      </c>
      <c r="M12" s="7">
        <f t="shared" si="2"/>
        <v>0.16849705005358626</v>
      </c>
      <c r="N12" s="5">
        <f>+IF(M12&gt;$M$52,50,IF(AND(M12&gt;$M$53,M12&lt;=$M$52),40,IF(AND(M12&gt;$M$54,M12&lt;=$M$53),30,IF(AND(M12&gt;$M$55,M12&lt;=$M$54),20,10))))</f>
        <v>20</v>
      </c>
      <c r="O12" s="6">
        <f t="shared" si="4"/>
        <v>50</v>
      </c>
      <c r="P12" s="91">
        <f t="shared" si="5"/>
        <v>55</v>
      </c>
      <c r="Q12"/>
    </row>
    <row r="13" spans="1:17" ht="14.45">
      <c r="A13" s="44">
        <v>11</v>
      </c>
      <c r="B13" s="73" t="s">
        <v>30</v>
      </c>
      <c r="C13" s="45">
        <v>10069563.6</v>
      </c>
      <c r="D13" s="4">
        <f t="shared" si="0"/>
        <v>4.4721305560347854E-3</v>
      </c>
      <c r="E13" s="72">
        <f>+IF(D13&gt;$E$44,50,IF(AND(D13&gt;$E$45,D13&lt;=$E$44),40,IF(AND(D13&gt;$E$46,D13&lt;=$E$45),30,IF(AND(D13&gt;$E$47,D13&lt;=$E$46),20,10))))</f>
        <v>30</v>
      </c>
      <c r="F13" s="81">
        <v>1.0102443766484652</v>
      </c>
      <c r="G13" s="73">
        <f>+IF(F13&gt;$E$52,50,IF(AND(F13&gt;$E$53,F13&lt;=$E$52),40,IF(AND(F13&gt;$E$54,F13&lt;=$E$53),30,IF(AND(F13&gt;$E$55,F13&lt;=$E$54),20,10))))</f>
        <v>30</v>
      </c>
      <c r="H13" s="33">
        <f t="shared" si="1"/>
        <v>60</v>
      </c>
      <c r="I13" s="76">
        <v>8883859</v>
      </c>
      <c r="J13" s="77">
        <f t="shared" si="3"/>
        <v>8.2069353920965066E-3</v>
      </c>
      <c r="K13" s="76">
        <v>44056498</v>
      </c>
      <c r="L13" s="32">
        <f>+IF(J13&gt;$M$44,50,IF(AND(J13&gt;$M$45,J13&lt;=$M$44),40,IF(AND(J13&gt;$M$46,J13&lt;=$M$45),30,IF(AND(J13&gt;$M$47,J13&lt;=$M$46),20,10))))</f>
        <v>40</v>
      </c>
      <c r="M13" s="7">
        <f t="shared" si="2"/>
        <v>2.0175932089086661</v>
      </c>
      <c r="N13" s="5">
        <f>+IF(M13&gt;$M$52,50,IF(AND(M13&gt;$M$53,M13&lt;=$M$52),40,IF(AND(M13&gt;$M$54,M13&lt;=$M$53),30,IF(AND(M13&gt;$M$55,M13&lt;=$M$54),20,10))))</f>
        <v>50</v>
      </c>
      <c r="O13" s="6">
        <f t="shared" si="4"/>
        <v>90</v>
      </c>
      <c r="P13" s="91">
        <f t="shared" si="5"/>
        <v>75</v>
      </c>
      <c r="Q13"/>
    </row>
    <row r="14" spans="1:17" ht="14.45">
      <c r="A14" s="44">
        <v>12</v>
      </c>
      <c r="B14" s="73" t="s">
        <v>31</v>
      </c>
      <c r="C14" s="45">
        <v>640109.4</v>
      </c>
      <c r="D14" s="4">
        <f t="shared" si="0"/>
        <v>2.8428767329550343E-4</v>
      </c>
      <c r="E14" s="72">
        <f>+IF(D14&gt;$E$44,50,IF(AND(D14&gt;$E$45,D14&lt;=$E$44),40,IF(AND(D14&gt;$E$46,D14&lt;=$E$45),30,IF(AND(D14&gt;$E$47,D14&lt;=$E$46),20,10))))</f>
        <v>10</v>
      </c>
      <c r="F14" s="81">
        <v>0.94382005622397269</v>
      </c>
      <c r="G14" s="73">
        <f>+IF(F14&gt;$E$52,50,IF(AND(F14&gt;$E$53,F14&lt;=$E$52),40,IF(AND(F14&gt;$E$54,F14&lt;=$E$53),30,IF(AND(F14&gt;$E$55,F14&lt;=$E$54),20,10))))</f>
        <v>20</v>
      </c>
      <c r="H14" s="33">
        <f t="shared" si="1"/>
        <v>30</v>
      </c>
      <c r="I14" s="76">
        <v>52308</v>
      </c>
      <c r="J14" s="77">
        <f t="shared" si="3"/>
        <v>4.8322286124732959E-5</v>
      </c>
      <c r="K14" s="76">
        <v>3195313</v>
      </c>
      <c r="L14" s="32">
        <f>+IF(J14&gt;$M$44,50,IF(AND(J14&gt;$M$45,J14&lt;=$M$44),40,IF(AND(J14&gt;$M$46,J14&lt;=$M$45),30,IF(AND(J14&gt;$M$47,J14&lt;=$M$46),20,10))))</f>
        <v>10</v>
      </c>
      <c r="M14" s="7">
        <f t="shared" si="2"/>
        <v>0.16379348815145547</v>
      </c>
      <c r="N14" s="5">
        <f>+IF(M14&gt;$M$52,50,IF(AND(M14&gt;$M$53,M14&lt;=$M$52),40,IF(AND(M14&gt;$M$54,M14&lt;=$M$53),30,IF(AND(M14&gt;$M$55,M14&lt;=$M$54),20,10))))</f>
        <v>20</v>
      </c>
      <c r="O14" s="6">
        <f t="shared" si="4"/>
        <v>30</v>
      </c>
      <c r="P14" s="91">
        <f t="shared" si="5"/>
        <v>30</v>
      </c>
      <c r="Q14"/>
    </row>
    <row r="15" spans="1:17" ht="14.45">
      <c r="A15" s="44">
        <v>13</v>
      </c>
      <c r="B15" s="73" t="s">
        <v>32</v>
      </c>
      <c r="C15" s="45">
        <v>941044</v>
      </c>
      <c r="D15" s="4">
        <f>+C15/$C$38</f>
        <v>4.1793982283136867E-4</v>
      </c>
      <c r="E15" s="72">
        <f>+IF(D15&gt;$E$44,50,IF(AND(D15&gt;$E$45,D15&lt;=$E$44),40,IF(AND(D15&gt;$E$46,D15&lt;=$E$45),30,IF(AND(D15&gt;$E$47,D15&lt;=$E$46),20,10))))</f>
        <v>10</v>
      </c>
      <c r="F15" s="81">
        <v>1.0727833867217755</v>
      </c>
      <c r="G15" s="73">
        <f>+IF(F15&gt;$E$52,50,IF(AND(F15&gt;$E$53,F15&lt;=$E$52),40,IF(AND(F15&gt;$E$54,F15&lt;=$E$53),30,IF(AND(F15&gt;$E$55,F15&lt;=$E$54),20,10))))</f>
        <v>40</v>
      </c>
      <c r="H15" s="33">
        <f>+E15+G15</f>
        <v>50</v>
      </c>
      <c r="I15" s="76">
        <v>290842</v>
      </c>
      <c r="J15" s="77">
        <f t="shared" si="3"/>
        <v>2.6868070545785699E-4</v>
      </c>
      <c r="K15" s="76">
        <v>3667116</v>
      </c>
      <c r="L15" s="32">
        <f>+IF(J15&gt;$M$44,50,IF(AND(J15&gt;$M$45,J15&lt;=$M$44),40,IF(AND(J15&gt;$M$46,J15&lt;=$M$45),30,IF(AND(J15&gt;$M$47,J15&lt;=$M$46),20,10))))</f>
        <v>20</v>
      </c>
      <c r="M15" s="7">
        <f t="shared" si="2"/>
        <v>0.79355018543111766</v>
      </c>
      <c r="N15" s="5">
        <f>+IF(M15&gt;$M$52,50,IF(AND(M15&gt;$M$53,M15&lt;=$M$52),40,IF(AND(M15&gt;$M$54,M15&lt;=$M$53),30,IF(AND(M15&gt;$M$55,M15&lt;=$M$54),20,10))))</f>
        <v>40</v>
      </c>
      <c r="O15" s="6">
        <f t="shared" si="4"/>
        <v>60</v>
      </c>
      <c r="P15" s="91">
        <f t="shared" si="5"/>
        <v>55</v>
      </c>
      <c r="Q15"/>
    </row>
    <row r="16" spans="1:17" ht="14.45">
      <c r="A16" s="44">
        <v>14</v>
      </c>
      <c r="B16" s="73" t="s">
        <v>33</v>
      </c>
      <c r="C16" s="45">
        <v>3022399.4</v>
      </c>
      <c r="D16" s="4">
        <f t="shared" si="0"/>
        <v>1.3423188179953699E-3</v>
      </c>
      <c r="E16" s="72">
        <f>+IF(D16&gt;$E$44,50,IF(AND(D16&gt;$E$45,D16&lt;=$E$44),40,IF(AND(D16&gt;$E$46,D16&lt;=$E$45),30,IF(AND(D16&gt;$E$47,D16&lt;=$E$46),20,10))))</f>
        <v>20</v>
      </c>
      <c r="F16" s="81">
        <v>1.2129106154910971</v>
      </c>
      <c r="G16" s="73">
        <f>+IF(F16&gt;$E$52,50,IF(AND(F16&gt;$E$53,F16&lt;=$E$52),40,IF(AND(F16&gt;$E$54,F16&lt;=$E$53),30,IF(AND(F16&gt;$E$55,F16&lt;=$E$54),20,10))))</f>
        <v>50</v>
      </c>
      <c r="H16" s="33">
        <f t="shared" si="1"/>
        <v>70</v>
      </c>
      <c r="I16" s="76">
        <v>651139</v>
      </c>
      <c r="J16" s="77">
        <f t="shared" si="3"/>
        <v>6.0152414668831718E-4</v>
      </c>
      <c r="K16" s="76">
        <v>15524177</v>
      </c>
      <c r="L16" s="32">
        <f>+IF(J16&gt;$M$44,50,IF(AND(J16&gt;$M$45,J16&lt;=$M$44),40,IF(AND(J16&gt;$M$46,J16&lt;=$M$45),30,IF(AND(J16&gt;$M$47,J16&lt;=$M$46),20,10))))</f>
        <v>30</v>
      </c>
      <c r="M16" s="7">
        <f t="shared" si="2"/>
        <v>0.4196691502090138</v>
      </c>
      <c r="N16" s="5">
        <f>+IF(M16&gt;$M$52,50,IF(AND(M16&gt;$M$53,M16&lt;=$M$52),40,IF(AND(M16&gt;$M$54,M16&lt;=$M$53),30,IF(AND(M16&gt;$M$55,M16&lt;=$M$54),20,10))))</f>
        <v>30</v>
      </c>
      <c r="O16" s="6">
        <f t="shared" si="4"/>
        <v>60</v>
      </c>
      <c r="P16" s="91">
        <f t="shared" si="5"/>
        <v>65</v>
      </c>
      <c r="Q16"/>
    </row>
    <row r="17" spans="1:17" ht="14.45">
      <c r="A17" s="44">
        <v>15</v>
      </c>
      <c r="B17" s="73" t="s">
        <v>34</v>
      </c>
      <c r="C17" s="45">
        <v>507571236.39999998</v>
      </c>
      <c r="D17" s="4">
        <f t="shared" si="0"/>
        <v>0.22542435063112323</v>
      </c>
      <c r="E17" s="72">
        <f>+IF(D17&gt;$E$44,50,IF(AND(D17&gt;$E$45,D17&lt;=$E$44),40,IF(AND(D17&gt;$E$46,D17&lt;=$E$45),30,IF(AND(D17&gt;$E$47,D17&lt;=$E$46),20,10))))</f>
        <v>50</v>
      </c>
      <c r="F17" s="81">
        <v>0.88307722261483157</v>
      </c>
      <c r="G17" s="73">
        <f>+IF(F17&gt;$E$52,50,IF(AND(F17&gt;$E$53,F17&lt;=$E$52),40,IF(AND(F17&gt;$E$54,F17&lt;=$E$53),30,IF(AND(F17&gt;$E$55,F17&lt;=$E$54),20,10))))</f>
        <v>10</v>
      </c>
      <c r="H17" s="33">
        <f t="shared" si="1"/>
        <v>60</v>
      </c>
      <c r="I17" s="76">
        <v>253599067</v>
      </c>
      <c r="J17" s="77">
        <f t="shared" si="3"/>
        <v>0.2342755730775278</v>
      </c>
      <c r="K17" s="76">
        <v>2423909136</v>
      </c>
      <c r="L17" s="32">
        <f>+IF(J17&gt;$M$44,50,IF(AND(J17&gt;$M$45,J17&lt;=$M$44),40,IF(AND(J17&gt;$M$46,J17&lt;=$M$45),30,IF(AND(J17&gt;$M$47,J17&lt;=$M$46),20,10))))</f>
        <v>50</v>
      </c>
      <c r="M17" s="7">
        <f t="shared" si="2"/>
        <v>1.0468229584955924</v>
      </c>
      <c r="N17" s="5">
        <f>+IF(M17&gt;$M$52,50,IF(AND(M17&gt;$M$53,M17&lt;=$M$52),40,IF(AND(M17&gt;$M$54,M17&lt;=$M$53),30,IF(AND(M17&gt;$M$55,M17&lt;=$M$54),20,10))))</f>
        <v>40</v>
      </c>
      <c r="O17" s="6">
        <f t="shared" si="4"/>
        <v>90</v>
      </c>
      <c r="P17" s="91">
        <f t="shared" si="5"/>
        <v>75</v>
      </c>
      <c r="Q17"/>
    </row>
    <row r="18" spans="1:17" ht="14.45">
      <c r="A18" s="44">
        <v>16</v>
      </c>
      <c r="B18" s="73" t="s">
        <v>35</v>
      </c>
      <c r="C18" s="45">
        <v>9904190</v>
      </c>
      <c r="D18" s="4">
        <f t="shared" si="0"/>
        <v>4.3986842420632973E-3</v>
      </c>
      <c r="E18" s="72">
        <f>+IF(D18&gt;$E$44,50,IF(AND(D18&gt;$E$45,D18&lt;=$E$44),40,IF(AND(D18&gt;$E$46,D18&lt;=$E$45),30,IF(AND(D18&gt;$E$47,D18&lt;=$E$46),20,10))))</f>
        <v>30</v>
      </c>
      <c r="F18" s="81">
        <v>1.1480688143988307</v>
      </c>
      <c r="G18" s="73">
        <f>+IF(F18&gt;$E$52,50,IF(AND(F18&gt;$E$53,F18&lt;=$E$52),40,IF(AND(F18&gt;$E$54,F18&lt;=$E$53),30,IF(AND(F18&gt;$E$55,F18&lt;=$E$54),20,10))))</f>
        <v>50</v>
      </c>
      <c r="H18" s="33">
        <f t="shared" si="1"/>
        <v>80</v>
      </c>
      <c r="I18" s="76">
        <v>22661164</v>
      </c>
      <c r="J18" s="77">
        <f t="shared" si="3"/>
        <v>2.0934450767138832E-2</v>
      </c>
      <c r="K18" s="76">
        <v>43430865</v>
      </c>
      <c r="L18" s="32">
        <f>+IF(J18&gt;$M$44,50,IF(AND(J18&gt;$M$45,J18&lt;=$M$44),40,IF(AND(J18&gt;$M$46,J18&lt;=$M$45),30,IF(AND(J18&gt;$M$47,J18&lt;=$M$46),20,10))))</f>
        <v>40</v>
      </c>
      <c r="M18" s="7">
        <f t="shared" si="2"/>
        <v>5.2206629731753491</v>
      </c>
      <c r="N18" s="5">
        <f>+IF(M18&gt;$M$52,50,IF(AND(M18&gt;$M$53,M18&lt;=$M$52),40,IF(AND(M18&gt;$M$54,M18&lt;=$M$53),30,IF(AND(M18&gt;$M$55,M18&lt;=$M$54),20,10))))</f>
        <v>50</v>
      </c>
      <c r="O18" s="6">
        <f t="shared" si="4"/>
        <v>90</v>
      </c>
      <c r="P18" s="91">
        <f t="shared" si="5"/>
        <v>85</v>
      </c>
      <c r="Q18"/>
    </row>
    <row r="19" spans="1:17" ht="14.45">
      <c r="A19" s="44">
        <v>17</v>
      </c>
      <c r="B19" s="73" t="s">
        <v>36</v>
      </c>
      <c r="C19" s="45">
        <v>5954106</v>
      </c>
      <c r="D19" s="4">
        <f t="shared" si="0"/>
        <v>2.6443588256863538E-3</v>
      </c>
      <c r="E19" s="72">
        <f>+IF(D19&gt;$E$44,50,IF(AND(D19&gt;$E$45,D19&lt;=$E$44),40,IF(AND(D19&gt;$E$46,D19&lt;=$E$45),30,IF(AND(D19&gt;$E$47,D19&lt;=$E$46),20,10))))</f>
        <v>20</v>
      </c>
      <c r="F19" s="81">
        <v>0.95572198930245522</v>
      </c>
      <c r="G19" s="73">
        <f>+IF(F19&gt;$E$52,50,IF(AND(F19&gt;$E$53,F19&lt;=$E$52),40,IF(AND(F19&gt;$E$54,F19&lt;=$E$53),30,IF(AND(F19&gt;$E$55,F19&lt;=$E$54),20,10))))</f>
        <v>20</v>
      </c>
      <c r="H19" s="33">
        <f t="shared" si="1"/>
        <v>40</v>
      </c>
      <c r="I19" s="76">
        <v>594906</v>
      </c>
      <c r="J19" s="77">
        <f t="shared" si="3"/>
        <v>5.4957593387857284E-4</v>
      </c>
      <c r="K19" s="76">
        <v>27530257</v>
      </c>
      <c r="L19" s="32">
        <f>+IF(J19&gt;$M$44,50,IF(AND(J19&gt;$M$45,J19&lt;=$M$44),40,IF(AND(J19&gt;$M$46,J19&lt;=$M$45),30,IF(AND(J19&gt;$M$47,J19&lt;=$M$46),20,10))))</f>
        <v>30</v>
      </c>
      <c r="M19" s="7">
        <f t="shared" si="2"/>
        <v>0.21621210572212721</v>
      </c>
      <c r="N19" s="5">
        <f>+IF(M19&gt;$M$52,50,IF(AND(M19&gt;$M$53,M19&lt;=$M$52),40,IF(AND(M19&gt;$M$54,M19&lt;=$M$53),30,IF(AND(M19&gt;$M$55,M19&lt;=$M$54),20,10))))</f>
        <v>20</v>
      </c>
      <c r="O19" s="6">
        <f t="shared" si="4"/>
        <v>50</v>
      </c>
      <c r="P19" s="91">
        <f t="shared" si="5"/>
        <v>45</v>
      </c>
      <c r="Q19"/>
    </row>
    <row r="20" spans="1:17" ht="14.45">
      <c r="A20" s="44">
        <v>18</v>
      </c>
      <c r="B20" s="73" t="s">
        <v>37</v>
      </c>
      <c r="C20" s="45">
        <v>9097691.4000000004</v>
      </c>
      <c r="D20" s="4">
        <f t="shared" si="0"/>
        <v>4.0404992028964283E-3</v>
      </c>
      <c r="E20" s="72">
        <f>+IF(D20&gt;$E$44,50,IF(AND(D20&gt;$E$45,D20&lt;=$E$44),40,IF(AND(D20&gt;$E$46,D20&lt;=$E$45),30,IF(AND(D20&gt;$E$47,D20&lt;=$E$46),20,10))))</f>
        <v>30</v>
      </c>
      <c r="F20" s="81">
        <v>0.94300073147681751</v>
      </c>
      <c r="G20" s="73">
        <f>+IF(F20&gt;$E$52,50,IF(AND(F20&gt;$E$53,F20&lt;=$E$52),40,IF(AND(F20&gt;$E$54,F20&lt;=$E$53),30,IF(AND(F20&gt;$E$55,F20&lt;=$E$54),20,10))))</f>
        <v>10</v>
      </c>
      <c r="H20" s="33">
        <f t="shared" si="1"/>
        <v>40</v>
      </c>
      <c r="I20" s="76">
        <v>705702</v>
      </c>
      <c r="J20" s="77">
        <f t="shared" si="3"/>
        <v>6.5192960852634974E-4</v>
      </c>
      <c r="K20" s="76">
        <v>31789163</v>
      </c>
      <c r="L20" s="32">
        <f>+IF(J20&gt;$M$44,50,IF(AND(J20&gt;$M$45,J20&lt;=$M$44),40,IF(AND(J20&gt;$M$46,J20&lt;=$M$45),30,IF(AND(J20&gt;$M$47,J20&lt;=$M$46),20,10))))</f>
        <v>30</v>
      </c>
      <c r="M20" s="7">
        <f t="shared" si="2"/>
        <v>0.22211821670891077</v>
      </c>
      <c r="N20" s="5">
        <f>+IF(M20&gt;$M$52,50,IF(AND(M20&gt;$M$53,M20&lt;=$M$52),40,IF(AND(M20&gt;$M$54,M20&lt;=$M$53),30,IF(AND(M20&gt;$M$55,M20&lt;=$M$54),20,10))))</f>
        <v>30</v>
      </c>
      <c r="O20" s="6">
        <f t="shared" si="4"/>
        <v>60</v>
      </c>
      <c r="P20" s="91">
        <f t="shared" si="5"/>
        <v>50</v>
      </c>
      <c r="Q20"/>
    </row>
    <row r="21" spans="1:17" ht="14.45">
      <c r="A21" s="44">
        <v>19</v>
      </c>
      <c r="B21" s="73" t="s">
        <v>379</v>
      </c>
      <c r="C21" s="45">
        <v>12677139.800000001</v>
      </c>
      <c r="D21" s="4">
        <f t="shared" si="0"/>
        <v>5.6302166126350021E-3</v>
      </c>
      <c r="E21" s="72">
        <f>+IF(D21&gt;$E$44,50,IF(AND(D21&gt;$E$45,D21&lt;=$E$44),40,IF(AND(D21&gt;$E$46,D21&lt;=$E$45),30,IF(AND(D21&gt;$E$47,D21&lt;=$E$46),20,10))))</f>
        <v>40</v>
      </c>
      <c r="F21" s="81">
        <v>0.93387725913446218</v>
      </c>
      <c r="G21" s="73">
        <f>+IF(F21&gt;$E$52,50,IF(AND(F21&gt;$E$53,F21&lt;=$E$52),40,IF(AND(F21&gt;$E$54,F21&lt;=$E$53),30,IF(AND(F21&gt;$E$55,F21&lt;=$E$54),20,10))))</f>
        <v>10</v>
      </c>
      <c r="H21" s="33">
        <f t="shared" si="1"/>
        <v>50</v>
      </c>
      <c r="I21" s="76">
        <v>2704770</v>
      </c>
      <c r="J21" s="77">
        <f t="shared" si="3"/>
        <v>2.4986745782976595E-3</v>
      </c>
      <c r="K21" s="76">
        <v>53125129</v>
      </c>
      <c r="L21" s="32">
        <f>+IF(J21&gt;$M$44,50,IF(AND(J21&gt;$M$45,J21&lt;=$M$44),40,IF(AND(J21&gt;$M$46,J21&lt;=$M$45),30,IF(AND(J21&gt;$M$47,J21&lt;=$M$46),20,10))))</f>
        <v>30</v>
      </c>
      <c r="M21" s="7">
        <f t="shared" si="2"/>
        <v>0.50941563027641168</v>
      </c>
      <c r="N21" s="5">
        <f>+IF(M21&gt;$M$52,50,IF(AND(M21&gt;$M$53,M21&lt;=$M$52),40,IF(AND(M21&gt;$M$54,M21&lt;=$M$53),30,IF(AND(M21&gt;$M$55,M21&lt;=$M$54),20,10))))</f>
        <v>40</v>
      </c>
      <c r="O21" s="6">
        <f t="shared" si="4"/>
        <v>70</v>
      </c>
      <c r="P21" s="91">
        <f t="shared" si="5"/>
        <v>60</v>
      </c>
      <c r="Q21"/>
    </row>
    <row r="22" spans="1:17" ht="14.45">
      <c r="A22" s="44">
        <v>20</v>
      </c>
      <c r="B22" s="73" t="s">
        <v>191</v>
      </c>
      <c r="C22" s="45">
        <v>62027226.600000001</v>
      </c>
      <c r="D22" s="4">
        <f t="shared" si="0"/>
        <v>2.7547753448218318E-2</v>
      </c>
      <c r="E22" s="72">
        <f>+IF(D22&gt;$E$44,50,IF(AND(D22&gt;$E$45,D22&lt;=$E$44),40,IF(AND(D22&gt;$E$46,D22&lt;=$E$45),30,IF(AND(D22&gt;$E$47,D22&lt;=$E$46),20,10))))</f>
        <v>50</v>
      </c>
      <c r="F22" s="81">
        <v>0.89185496248315954</v>
      </c>
      <c r="G22" s="73">
        <f>+IF(F22&gt;$E$52,50,IF(AND(F22&gt;$E$53,F22&lt;=$E$52),40,IF(AND(F22&gt;$E$54,F22&lt;=$E$53),30,IF(AND(F22&gt;$E$55,F22&lt;=$E$54),20,10))))</f>
        <v>10</v>
      </c>
      <c r="H22" s="33">
        <f t="shared" si="1"/>
        <v>60</v>
      </c>
      <c r="I22" s="76">
        <v>493258</v>
      </c>
      <c r="J22" s="77">
        <f t="shared" si="3"/>
        <v>4.5567320886505944E-4</v>
      </c>
      <c r="K22" s="76">
        <v>313624525</v>
      </c>
      <c r="L22" s="32">
        <f>+IF(J22&gt;$M$44,50,IF(AND(J22&gt;$M$45,J22&lt;=$M$44),40,IF(AND(J22&gt;$M$46,J22&lt;=$M$45),30,IF(AND(J22&gt;$M$47,J22&lt;=$M$46),20,10))))</f>
        <v>20</v>
      </c>
      <c r="M22" s="7">
        <f t="shared" si="2"/>
        <v>1.5736423836209133E-2</v>
      </c>
      <c r="N22" s="5">
        <f>+IF(M22&gt;$M$52,50,IF(AND(M22&gt;$M$53,M22&lt;=$M$52),40,IF(AND(M22&gt;$M$54,M22&lt;=$M$53),30,IF(AND(M22&gt;$M$55,M22&lt;=$M$54),20,10))))</f>
        <v>10</v>
      </c>
      <c r="O22" s="6">
        <f t="shared" si="4"/>
        <v>30</v>
      </c>
      <c r="P22" s="91">
        <f t="shared" si="5"/>
        <v>45</v>
      </c>
      <c r="Q22"/>
    </row>
    <row r="23" spans="1:17" ht="14.45">
      <c r="A23" s="44">
        <v>21</v>
      </c>
      <c r="B23" s="73" t="s">
        <v>40</v>
      </c>
      <c r="C23" s="45">
        <v>9188713.5999999996</v>
      </c>
      <c r="D23" s="4">
        <f t="shared" si="0"/>
        <v>4.0809243075054808E-3</v>
      </c>
      <c r="E23" s="72">
        <f>+IF(D23&gt;$E$44,50,IF(AND(D23&gt;$E$45,D23&lt;=$E$44),40,IF(AND(D23&gt;$E$46,D23&lt;=$E$45),30,IF(AND(D23&gt;$E$47,D23&lt;=$E$46),20,10))))</f>
        <v>30</v>
      </c>
      <c r="F23" s="81">
        <v>1.1372717961410161</v>
      </c>
      <c r="G23" s="73">
        <f>+IF(F23&gt;$E$52,50,IF(AND(F23&gt;$E$53,F23&lt;=$E$52),40,IF(AND(F23&gt;$E$54,F23&lt;=$E$53),30,IF(AND(F23&gt;$E$55,F23&lt;=$E$54),20,10))))</f>
        <v>50</v>
      </c>
      <c r="H23" s="33">
        <f t="shared" si="1"/>
        <v>80</v>
      </c>
      <c r="I23" s="76">
        <v>18970847</v>
      </c>
      <c r="J23" s="77">
        <f t="shared" si="3"/>
        <v>1.7525324936195838E-2</v>
      </c>
      <c r="K23" s="76">
        <v>42375681</v>
      </c>
      <c r="L23" s="32">
        <f>+IF(J23&gt;$M$44,50,IF(AND(J23&gt;$M$45,J23&lt;=$M$44),40,IF(AND(J23&gt;$M$46,J23&lt;=$M$45),30,IF(AND(J23&gt;$M$47,J23&lt;=$M$46),20,10))))</f>
        <v>40</v>
      </c>
      <c r="M23" s="7">
        <f t="shared" si="2"/>
        <v>4.4793186031174095</v>
      </c>
      <c r="N23" s="5">
        <f>+IF(M23&gt;$M$52,50,IF(AND(M23&gt;$M$53,M23&lt;=$M$52),40,IF(AND(M23&gt;$M$54,M23&lt;=$M$53),30,IF(AND(M23&gt;$M$55,M23&lt;=$M$54),20,10))))</f>
        <v>50</v>
      </c>
      <c r="O23" s="6">
        <f t="shared" si="4"/>
        <v>90</v>
      </c>
      <c r="P23" s="91">
        <f t="shared" si="5"/>
        <v>85</v>
      </c>
      <c r="Q23"/>
    </row>
    <row r="24" spans="1:17" ht="14.45">
      <c r="A24" s="44">
        <v>22</v>
      </c>
      <c r="B24" s="73" t="s">
        <v>41</v>
      </c>
      <c r="C24" s="45">
        <v>2426158</v>
      </c>
      <c r="D24" s="4">
        <f t="shared" si="0"/>
        <v>1.0775139575629916E-3</v>
      </c>
      <c r="E24" s="72">
        <f>+IF(D24&gt;$E$44,50,IF(AND(D24&gt;$E$45,D24&lt;=$E$44),40,IF(AND(D24&gt;$E$46,D24&lt;=$E$45),30,IF(AND(D24&gt;$E$47,D24&lt;=$E$46),20,10))))</f>
        <v>20</v>
      </c>
      <c r="F24" s="81">
        <v>1.0397540553961839</v>
      </c>
      <c r="G24" s="73">
        <f>+IF(F24&gt;$E$52,50,IF(AND(F24&gt;$E$53,F24&lt;=$E$52),40,IF(AND(F24&gt;$E$54,F24&lt;=$E$53),30,IF(AND(F24&gt;$E$55,F24&lt;=$E$54),20,10))))</f>
        <v>30</v>
      </c>
      <c r="H24" s="33">
        <f>+E24+G24</f>
        <v>50</v>
      </c>
      <c r="I24" s="76">
        <v>1196142</v>
      </c>
      <c r="J24" s="77">
        <f t="shared" si="3"/>
        <v>1.1049995406020175E-3</v>
      </c>
      <c r="K24" s="76">
        <v>12076282</v>
      </c>
      <c r="L24" s="32">
        <f>+IF(J24&gt;$M$44,50,IF(AND(J24&gt;$M$45,J24&lt;=$M$44),40,IF(AND(J24&gt;$M$46,J24&lt;=$M$45),30,IF(AND(J24&gt;$M$47,J24&lt;=$M$46),20,10))))</f>
        <v>30</v>
      </c>
      <c r="M24" s="7">
        <f t="shared" si="2"/>
        <v>0.99104053259638047</v>
      </c>
      <c r="N24" s="5">
        <f>+IF(M24&gt;$M$52,50,IF(AND(M24&gt;$M$53,M24&lt;=$M$52),40,IF(AND(M24&gt;$M$54,M24&lt;=$M$53),30,IF(AND(M24&gt;$M$55,M24&lt;=$M$54),20,10))))</f>
        <v>40</v>
      </c>
      <c r="O24" s="6">
        <f t="shared" si="4"/>
        <v>70</v>
      </c>
      <c r="P24" s="91">
        <f t="shared" si="5"/>
        <v>60</v>
      </c>
      <c r="Q24"/>
    </row>
    <row r="25" spans="1:17" ht="14.45">
      <c r="A25" s="44">
        <v>23</v>
      </c>
      <c r="B25" s="73" t="s">
        <v>42</v>
      </c>
      <c r="C25" s="45">
        <v>46279783.799999997</v>
      </c>
      <c r="D25" s="4">
        <f t="shared" si="0"/>
        <v>2.0553942899637048E-2</v>
      </c>
      <c r="E25" s="72">
        <f>+IF(D25&gt;$E$44,50,IF(AND(D25&gt;$E$45,D25&lt;=$E$44),40,IF(AND(D25&gt;$E$46,D25&lt;=$E$45),30,IF(AND(D25&gt;$E$47,D25&lt;=$E$46),20,10))))</f>
        <v>50</v>
      </c>
      <c r="F25" s="81">
        <v>1.0414288642113447</v>
      </c>
      <c r="G25" s="73">
        <f>+IF(F25&gt;$E$52,50,IF(AND(F25&gt;$E$53,F25&lt;=$E$52),40,IF(AND(F25&gt;$E$54,F25&lt;=$E$53),30,IF(AND(F25&gt;$E$55,F25&lt;=$E$54),20,10))))</f>
        <v>40</v>
      </c>
      <c r="H25" s="33">
        <f t="shared" si="1"/>
        <v>90</v>
      </c>
      <c r="I25" s="76">
        <v>11544963</v>
      </c>
      <c r="J25" s="77">
        <f t="shared" si="3"/>
        <v>1.0665271189597297E-2</v>
      </c>
      <c r="K25" s="76">
        <v>222338523</v>
      </c>
      <c r="L25" s="32">
        <f>+IF(J25&gt;$M$44,50,IF(AND(J25&gt;$M$45,J25&lt;=$M$44),40,IF(AND(J25&gt;$M$46,J25&lt;=$M$45),30,IF(AND(J25&gt;$M$47,J25&lt;=$M$46),20,10))))</f>
        <v>40</v>
      </c>
      <c r="M25" s="7">
        <f t="shared" si="2"/>
        <v>0.51954091166499972</v>
      </c>
      <c r="N25" s="5">
        <f>+IF(M25&gt;$M$52,50,IF(AND(M25&gt;$M$53,M25&lt;=$M$52),40,IF(AND(M25&gt;$M$54,M25&lt;=$M$53),30,IF(AND(M25&gt;$M$55,M25&lt;=$M$54),20,10))))</f>
        <v>40</v>
      </c>
      <c r="O25" s="6">
        <f t="shared" si="4"/>
        <v>80</v>
      </c>
      <c r="P25" s="91">
        <f t="shared" si="5"/>
        <v>85</v>
      </c>
      <c r="Q25"/>
    </row>
    <row r="26" spans="1:17" ht="14.45">
      <c r="A26" s="44">
        <v>24</v>
      </c>
      <c r="B26" s="73" t="s">
        <v>43</v>
      </c>
      <c r="C26" s="45">
        <v>608886067.60000002</v>
      </c>
      <c r="D26" s="4">
        <f t="shared" si="0"/>
        <v>0.27042065537555393</v>
      </c>
      <c r="E26" s="72">
        <f>+IF(D26&gt;$E$44,50,IF(AND(D26&gt;$E$45,D26&lt;=$E$44),40,IF(AND(D26&gt;$E$46,D26&lt;=$E$45),30,IF(AND(D26&gt;$E$47,D26&lt;=$E$46),20,10))))</f>
        <v>50</v>
      </c>
      <c r="F26" s="81">
        <v>1.1673288501575105</v>
      </c>
      <c r="G26" s="73">
        <f>+IF(F26&gt;$E$52,50,IF(AND(F26&gt;$E$53,F26&lt;=$E$52),40,IF(AND(F26&gt;$E$54,F26&lt;=$E$53),30,IF(AND(F26&gt;$E$55,F26&lt;=$E$54),20,10))))</f>
        <v>50</v>
      </c>
      <c r="H26" s="33">
        <f t="shared" si="1"/>
        <v>100</v>
      </c>
      <c r="I26" s="76">
        <v>187231599</v>
      </c>
      <c r="J26" s="77">
        <f t="shared" si="3"/>
        <v>0.17296510855833266</v>
      </c>
      <c r="K26" s="76">
        <v>3034112731</v>
      </c>
      <c r="L26" s="32">
        <f>+IF(J26&gt;$M$44,50,IF(AND(J26&gt;$M$45,J26&lt;=$M$44),40,IF(AND(J26&gt;$M$46,J26&lt;=$M$45),30,IF(AND(J26&gt;$M$47,J26&lt;=$M$46),20,10))))</f>
        <v>50</v>
      </c>
      <c r="M26" s="7">
        <f t="shared" si="2"/>
        <v>0.61743231616888739</v>
      </c>
      <c r="N26" s="5">
        <f>+IF(M26&gt;$M$52,50,IF(AND(M26&gt;$M$53,M26&lt;=$M$52),40,IF(AND(M26&gt;$M$54,M26&lt;=$M$53),30,IF(AND(M26&gt;$M$55,M26&lt;=$M$54),20,10))))</f>
        <v>40</v>
      </c>
      <c r="O26" s="6">
        <f t="shared" si="4"/>
        <v>90</v>
      </c>
      <c r="P26" s="91">
        <f t="shared" si="5"/>
        <v>95</v>
      </c>
      <c r="Q26"/>
    </row>
    <row r="27" spans="1:17" ht="14.45">
      <c r="A27" s="44">
        <v>25</v>
      </c>
      <c r="B27" s="73" t="s">
        <v>44</v>
      </c>
      <c r="C27" s="45">
        <v>42030493.399999999</v>
      </c>
      <c r="D27" s="4">
        <f t="shared" si="0"/>
        <v>1.8666732868081629E-2</v>
      </c>
      <c r="E27" s="72">
        <f>+IF(D27&gt;$E$44,50,IF(AND(D27&gt;$E$45,D27&lt;=$E$44),40,IF(AND(D27&gt;$E$46,D27&lt;=$E$45),30,IF(AND(D27&gt;$E$47,D27&lt;=$E$46),20,10))))</f>
        <v>40</v>
      </c>
      <c r="F27" s="81">
        <v>1.1070278682660282</v>
      </c>
      <c r="G27" s="73">
        <f>+IF(F27&gt;$E$52,50,IF(AND(F27&gt;$E$53,F27&lt;=$E$52),40,IF(AND(F27&gt;$E$54,F27&lt;=$E$53),30,IF(AND(F27&gt;$E$55,F27&lt;=$E$54),20,10))))</f>
        <v>40</v>
      </c>
      <c r="H27" s="33">
        <f t="shared" si="1"/>
        <v>80</v>
      </c>
      <c r="I27" s="76">
        <v>28748988</v>
      </c>
      <c r="J27" s="77">
        <f t="shared" si="3"/>
        <v>2.6558400702235113E-2</v>
      </c>
      <c r="K27" s="76">
        <v>211121282</v>
      </c>
      <c r="L27" s="32">
        <f>+IF(J27&gt;$M$44,50,IF(AND(J27&gt;$M$45,J27&lt;=$M$44),40,IF(AND(J27&gt;$M$46,J27&lt;=$M$45),30,IF(AND(J27&gt;$M$47,J27&lt;=$M$46),20,10))))</f>
        <v>50</v>
      </c>
      <c r="M27" s="7">
        <f t="shared" si="2"/>
        <v>1.3624873231243091</v>
      </c>
      <c r="N27" s="5">
        <f>+IF(M27&gt;$M$52,50,IF(AND(M27&gt;$M$53,M27&lt;=$M$52),40,IF(AND(M27&gt;$M$54,M27&lt;=$M$53),30,IF(AND(M27&gt;$M$55,M27&lt;=$M$54),20,10))))</f>
        <v>50</v>
      </c>
      <c r="O27" s="6">
        <f t="shared" si="4"/>
        <v>100</v>
      </c>
      <c r="P27" s="91">
        <f t="shared" si="5"/>
        <v>90</v>
      </c>
      <c r="Q27"/>
    </row>
    <row r="28" spans="1:17" ht="14.45">
      <c r="A28" s="44">
        <v>26</v>
      </c>
      <c r="B28" s="73" t="s">
        <v>45</v>
      </c>
      <c r="C28" s="45">
        <v>15952500.6</v>
      </c>
      <c r="D28" s="4">
        <f t="shared" si="0"/>
        <v>7.0848815512147174E-3</v>
      </c>
      <c r="E28" s="72">
        <f>+IF(D28&gt;$E$44,50,IF(AND(D28&gt;$E$45,D28&lt;=$E$44),40,IF(AND(D28&gt;$E$46,D28&lt;=$E$45),30,IF(AND(D28&gt;$E$47,D28&lt;=$E$46),20,10))))</f>
        <v>40</v>
      </c>
      <c r="F28" s="81">
        <v>1.0497203356421529</v>
      </c>
      <c r="G28" s="73">
        <f>+IF(F28&gt;$E$52,50,IF(AND(F28&gt;$E$53,F28&lt;=$E$52),40,IF(AND(F28&gt;$E$54,F28&lt;=$E$53),30,IF(AND(F28&gt;$E$55,F28&lt;=$E$54),20,10))))</f>
        <v>40</v>
      </c>
      <c r="H28" s="33">
        <f t="shared" si="1"/>
        <v>80</v>
      </c>
      <c r="I28" s="76">
        <v>15471669</v>
      </c>
      <c r="J28" s="77">
        <f t="shared" si="3"/>
        <v>1.4292773882487595E-2</v>
      </c>
      <c r="K28" s="76">
        <v>78943272</v>
      </c>
      <c r="L28" s="32">
        <f>+IF(J28&gt;$M$44,50,IF(AND(J28&gt;$M$45,J28&lt;=$M$44),40,IF(AND(J28&gt;$M$46,J28&lt;=$M$45),30,IF(AND(J28&gt;$M$47,J28&lt;=$M$46),20,10))))</f>
        <v>40</v>
      </c>
      <c r="M28" s="7">
        <f t="shared" si="2"/>
        <v>1.9609384657992708</v>
      </c>
      <c r="N28" s="5">
        <f>+IF(M28&gt;$M$52,50,IF(AND(M28&gt;$M$53,M28&lt;=$M$52),40,IF(AND(M28&gt;$M$54,M28&lt;=$M$53),30,IF(AND(M28&gt;$M$55,M28&lt;=$M$54),20,10))))</f>
        <v>50</v>
      </c>
      <c r="O28" s="6">
        <f t="shared" si="4"/>
        <v>90</v>
      </c>
      <c r="P28" s="91">
        <f t="shared" si="5"/>
        <v>85</v>
      </c>
      <c r="Q28"/>
    </row>
    <row r="29" spans="1:17" ht="14.45">
      <c r="A29" s="44">
        <v>27</v>
      </c>
      <c r="B29" s="73" t="s">
        <v>46</v>
      </c>
      <c r="C29" s="45">
        <v>27434139.199999999</v>
      </c>
      <c r="D29" s="4">
        <f t="shared" si="0"/>
        <v>1.2184147900394781E-2</v>
      </c>
      <c r="E29" s="72">
        <f>+IF(D29&gt;$E$44,50,IF(AND(D29&gt;$E$45,D29&lt;=$E$44),40,IF(AND(D29&gt;$E$46,D29&lt;=$E$45),30,IF(AND(D29&gt;$E$47,D29&lt;=$E$46),20,10))))</f>
        <v>40</v>
      </c>
      <c r="F29" s="81">
        <v>1.0049706974328696</v>
      </c>
      <c r="G29" s="73">
        <f>+IF(F29&gt;$E$52,50,IF(AND(F29&gt;$E$53,F29&lt;=$E$52),40,IF(AND(F29&gt;$E$54,F29&lt;=$E$53),30,IF(AND(F29&gt;$E$55,F29&lt;=$E$54),20,10))))</f>
        <v>20</v>
      </c>
      <c r="H29" s="33">
        <f t="shared" si="1"/>
        <v>60</v>
      </c>
      <c r="I29" s="76">
        <v>2953280</v>
      </c>
      <c r="J29" s="77">
        <f t="shared" si="3"/>
        <v>2.7282488561300635E-3</v>
      </c>
      <c r="K29" s="76">
        <v>116937816</v>
      </c>
      <c r="L29" s="32">
        <f>+IF(J29&gt;$M$44,50,IF(AND(J29&gt;$M$45,J29&lt;=$M$44),40,IF(AND(J29&gt;$M$46,J29&lt;=$M$45),30,IF(AND(J29&gt;$M$47,J29&lt;=$M$46),20,10))))</f>
        <v>30</v>
      </c>
      <c r="M29" s="7">
        <f t="shared" si="2"/>
        <v>0.25269204428671177</v>
      </c>
      <c r="N29" s="5">
        <f>+IF(M29&gt;$M$52,50,IF(AND(M29&gt;$M$53,M29&lt;=$M$52),40,IF(AND(M29&gt;$M$54,M29&lt;=$M$53),30,IF(AND(M29&gt;$M$55,M29&lt;=$M$54),20,10))))</f>
        <v>30</v>
      </c>
      <c r="O29" s="6">
        <f t="shared" si="4"/>
        <v>60</v>
      </c>
      <c r="P29" s="91">
        <f t="shared" si="5"/>
        <v>60</v>
      </c>
      <c r="Q29"/>
    </row>
    <row r="30" spans="1:17" ht="14.45">
      <c r="A30" s="44">
        <v>28</v>
      </c>
      <c r="B30" s="73" t="s">
        <v>47</v>
      </c>
      <c r="C30" s="45">
        <v>31854877.199999999</v>
      </c>
      <c r="D30" s="4">
        <f t="shared" si="0"/>
        <v>1.4147501852498932E-2</v>
      </c>
      <c r="E30" s="72">
        <f>+IF(D30&gt;$E$44,50,IF(AND(D30&gt;$E$45,D30&lt;=$E$44),40,IF(AND(D30&gt;$E$46,D30&lt;=$E$45),30,IF(AND(D30&gt;$E$47,D30&lt;=$E$46),20,10))))</f>
        <v>40</v>
      </c>
      <c r="F30" s="81">
        <v>1.0123527558164696</v>
      </c>
      <c r="G30" s="73">
        <f>+IF(F30&gt;$E$52,50,IF(AND(F30&gt;$E$53,F30&lt;=$E$52),40,IF(AND(F30&gt;$E$54,F30&lt;=$E$53),30,IF(AND(F30&gt;$E$55,F30&lt;=$E$54),20,10))))</f>
        <v>30</v>
      </c>
      <c r="H30" s="33">
        <f t="shared" si="1"/>
        <v>70</v>
      </c>
      <c r="I30" s="76">
        <v>3323538</v>
      </c>
      <c r="J30" s="77">
        <f t="shared" si="3"/>
        <v>3.0702942988151474E-3</v>
      </c>
      <c r="K30" s="76">
        <v>152196371</v>
      </c>
      <c r="L30" s="32">
        <f>+IF(J30&gt;$M$44,50,IF(AND(J30&gt;$M$45,J30&lt;=$M$44),40,IF(AND(J30&gt;$M$46,J30&lt;=$M$45),30,IF(AND(J30&gt;$M$47,J30&lt;=$M$46),20,10))))</f>
        <v>40</v>
      </c>
      <c r="M30" s="7">
        <f t="shared" si="2"/>
        <v>0.21849337570598631</v>
      </c>
      <c r="N30" s="5">
        <f>+IF(M30&gt;$M$52,50,IF(AND(M30&gt;$M$53,M30&lt;=$M$52),40,IF(AND(M30&gt;$M$54,M30&lt;=$M$53),30,IF(AND(M30&gt;$M$55,M30&lt;=$M$54),20,10))))</f>
        <v>20</v>
      </c>
      <c r="O30" s="6">
        <f t="shared" si="4"/>
        <v>60</v>
      </c>
      <c r="P30" s="91">
        <f t="shared" si="5"/>
        <v>65</v>
      </c>
      <c r="Q30"/>
    </row>
    <row r="31" spans="1:17" ht="14.45">
      <c r="A31" s="44">
        <v>29</v>
      </c>
      <c r="B31" s="73" t="s">
        <v>48</v>
      </c>
      <c r="C31" s="45">
        <v>84318.8</v>
      </c>
      <c r="D31" s="4">
        <f t="shared" si="0"/>
        <v>3.7447966655494971E-5</v>
      </c>
      <c r="E31" s="72">
        <f>+IF(D31&gt;$E$44,50,IF(AND(D31&gt;$E$45,D31&lt;=$E$44),40,IF(AND(D31&gt;$E$46,D31&lt;=$E$45),30,IF(AND(D31&gt;$E$47,D31&lt;=$E$46),20,10))))</f>
        <v>10</v>
      </c>
      <c r="F31" s="81">
        <v>0.90006915529937737</v>
      </c>
      <c r="G31" s="73">
        <f>+IF(F31&gt;$E$52,50,IF(AND(F31&gt;$E$53,F31&lt;=$E$52),40,IF(AND(F31&gt;$E$54,F31&lt;=$E$53),30,IF(AND(F31&gt;$E$55,F31&lt;=$E$54),20,10))))</f>
        <v>10</v>
      </c>
      <c r="H31" s="33">
        <f t="shared" si="1"/>
        <v>20</v>
      </c>
      <c r="I31" s="76">
        <v>114</v>
      </c>
      <c r="J31" s="77">
        <f t="shared" si="3"/>
        <v>1.0531353938631869E-7</v>
      </c>
      <c r="K31" s="76">
        <v>428560</v>
      </c>
      <c r="L31" s="32">
        <f>+IF(J31&gt;$M$44,50,IF(AND(J31&gt;$M$45,J31&lt;=$M$44),40,IF(AND(J31&gt;$M$46,J31&lt;=$M$45),30,IF(AND(J31&gt;$M$47,J31&lt;=$M$46),20,10))))</f>
        <v>10</v>
      </c>
      <c r="M31" s="7">
        <f t="shared" si="2"/>
        <v>2.6615531360547604E-3</v>
      </c>
      <c r="N31" s="5">
        <f>+IF(M31&gt;$M$52,50,IF(AND(M31&gt;$M$53,M31&lt;=$M$52),40,IF(AND(M31&gt;$M$54,M31&lt;=$M$53),30,IF(AND(M31&gt;$M$55,M31&lt;=$M$54),20,10))))</f>
        <v>10</v>
      </c>
      <c r="O31" s="6">
        <f t="shared" si="4"/>
        <v>20</v>
      </c>
      <c r="P31" s="91">
        <f t="shared" si="5"/>
        <v>20</v>
      </c>
      <c r="Q31"/>
    </row>
    <row r="32" spans="1:17" ht="14.45">
      <c r="A32" s="44">
        <v>30</v>
      </c>
      <c r="B32" s="73" t="s">
        <v>49</v>
      </c>
      <c r="C32" s="45">
        <v>10664661</v>
      </c>
      <c r="D32" s="4">
        <f t="shared" si="0"/>
        <v>4.7364273391006231E-3</v>
      </c>
      <c r="E32" s="72">
        <f>+IF(D32&gt;$E$44,50,IF(AND(D32&gt;$E$45,D32&lt;=$E$44),40,IF(AND(D32&gt;$E$46,D32&lt;=$E$45),30,IF(AND(D32&gt;$E$47,D32&lt;=$E$46),20,10))))</f>
        <v>30</v>
      </c>
      <c r="F32" s="81">
        <v>1.075120653597144</v>
      </c>
      <c r="G32" s="73">
        <f>+IF(F32&gt;$E$52,50,IF(AND(F32&gt;$E$53,F32&lt;=$E$52),40,IF(AND(F32&gt;$E$54,F32&lt;=$E$53),30,IF(AND(F32&gt;$E$55,F32&lt;=$E$54),20,10))))</f>
        <v>40</v>
      </c>
      <c r="H32" s="33">
        <f t="shared" si="1"/>
        <v>70</v>
      </c>
      <c r="I32" s="76">
        <v>375653</v>
      </c>
      <c r="J32" s="77">
        <f t="shared" si="3"/>
        <v>3.4702935974639272E-4</v>
      </c>
      <c r="K32" s="76">
        <v>46977594</v>
      </c>
      <c r="L32" s="32">
        <f>+IF(J32&gt;$M$44,50,IF(AND(J32&gt;$M$45,J32&lt;=$M$44),40,IF(AND(J32&gt;$M$46,J32&lt;=$M$45),30,IF(AND(J32&gt;$M$47,J32&lt;=$M$46),20,10))))</f>
        <v>20</v>
      </c>
      <c r="M32" s="7">
        <f t="shared" si="2"/>
        <v>8.0008847444508091E-2</v>
      </c>
      <c r="N32" s="5">
        <f>+IF(M32&gt;$M$52,50,IF(AND(M32&gt;$M$53,M32&lt;=$M$52),40,IF(AND(M32&gt;$M$54,M32&lt;=$M$53),30,IF(AND(M32&gt;$M$55,M32&lt;=$M$54),20,10))))</f>
        <v>20</v>
      </c>
      <c r="O32" s="6">
        <f t="shared" si="4"/>
        <v>40</v>
      </c>
      <c r="P32" s="91">
        <f t="shared" si="5"/>
        <v>55</v>
      </c>
      <c r="Q32"/>
    </row>
    <row r="33" spans="1:17" ht="14.45">
      <c r="A33" s="44">
        <v>31</v>
      </c>
      <c r="B33" s="73" t="s">
        <v>50</v>
      </c>
      <c r="C33" s="45">
        <v>17547491.600000001</v>
      </c>
      <c r="D33" s="4">
        <f t="shared" si="0"/>
        <v>7.7932546516835885E-3</v>
      </c>
      <c r="E33" s="72">
        <f>+IF(D33&gt;$E$44,50,IF(AND(D33&gt;$E$45,D33&lt;=$E$44),40,IF(AND(D33&gt;$E$46,D33&lt;=$E$45),30,IF(AND(D33&gt;$E$47,D33&lt;=$E$46),20,10))))</f>
        <v>40</v>
      </c>
      <c r="F33" s="81">
        <v>2.0829967734143584</v>
      </c>
      <c r="G33" s="73">
        <f>+IF(F33&gt;$E$52,50,IF(AND(F33&gt;$E$53,F33&lt;=$E$52),40,IF(AND(F33&gt;$E$54,F33&lt;=$E$53),30,IF(AND(F33&gt;$E$55,F33&lt;=$E$54),20,10))))</f>
        <v>50</v>
      </c>
      <c r="H33" s="33">
        <f t="shared" si="1"/>
        <v>90</v>
      </c>
      <c r="I33" s="76">
        <v>0</v>
      </c>
      <c r="J33" s="77">
        <f t="shared" si="3"/>
        <v>0</v>
      </c>
      <c r="K33" s="76">
        <v>71595494</v>
      </c>
      <c r="L33" s="32">
        <f>+IF(J33&gt;$M$44,50,IF(AND(J33&gt;$M$45,J33&lt;=$M$44),40,IF(AND(J33&gt;$M$46,J33&lt;=$M$45),30,IF(AND(J33&gt;$M$47,J33&lt;=$M$46),20,10))))</f>
        <v>10</v>
      </c>
      <c r="M33" s="7">
        <f t="shared" si="2"/>
        <v>0</v>
      </c>
      <c r="N33" s="5">
        <f>+IF(M33&gt;$M$52,50,IF(AND(M33&gt;$M$53,M33&lt;=$M$52),40,IF(AND(M33&gt;$M$54,M33&lt;=$M$53),30,IF(AND(M33&gt;$M$55,M33&lt;=$M$54),20,10))))</f>
        <v>10</v>
      </c>
      <c r="O33" s="6">
        <f t="shared" si="4"/>
        <v>20</v>
      </c>
      <c r="P33" s="91">
        <f t="shared" si="5"/>
        <v>55</v>
      </c>
      <c r="Q33"/>
    </row>
    <row r="34" spans="1:17" ht="14.45">
      <c r="A34" s="44">
        <v>32</v>
      </c>
      <c r="B34" s="73" t="s">
        <v>51</v>
      </c>
      <c r="C34" s="45">
        <v>1753476.8</v>
      </c>
      <c r="D34" s="4">
        <f t="shared" si="0"/>
        <v>7.7876038010009656E-4</v>
      </c>
      <c r="E34" s="72">
        <f>+IF(D34&gt;$E$44,50,IF(AND(D34&gt;$E$45,D34&lt;=$E$44),40,IF(AND(D34&gt;$E$46,D34&lt;=$E$45),30,IF(AND(D34&gt;$E$47,D34&lt;=$E$46),20,10))))</f>
        <v>10</v>
      </c>
      <c r="F34" s="81">
        <v>1.1115826238601256</v>
      </c>
      <c r="G34" s="73">
        <f>+IF(F34&gt;$E$52,50,IF(AND(F34&gt;$E$53,F34&lt;=$E$52),40,IF(AND(F34&gt;$E$54,F34&lt;=$E$53),30,IF(AND(F34&gt;$E$55,F34&lt;=$E$54),20,10))))</f>
        <v>50</v>
      </c>
      <c r="H34" s="33">
        <f t="shared" si="1"/>
        <v>60</v>
      </c>
      <c r="I34" s="76">
        <v>273559</v>
      </c>
      <c r="J34" s="77">
        <f t="shared" si="3"/>
        <v>2.5271461860510482E-4</v>
      </c>
      <c r="K34" s="76">
        <v>7653152</v>
      </c>
      <c r="L34" s="32">
        <f>+IF(J34&gt;$M$44,50,IF(AND(J34&gt;$M$45,J34&lt;=$M$44),40,IF(AND(J34&gt;$M$46,J34&lt;=$M$45),30,IF(AND(J34&gt;$M$47,J34&lt;=$M$46),20,10))))</f>
        <v>20</v>
      </c>
      <c r="M34" s="7">
        <f t="shared" si="2"/>
        <v>0.35764535714394191</v>
      </c>
      <c r="N34" s="5">
        <f>+IF(M34&gt;$M$52,50,IF(AND(M34&gt;$M$53,M34&lt;=$M$52),40,IF(AND(M34&gt;$M$54,M34&lt;=$M$53),30,IF(AND(M34&gt;$M$55,M34&lt;=$M$54),20,10))))</f>
        <v>30</v>
      </c>
      <c r="O34" s="6">
        <f t="shared" si="4"/>
        <v>50</v>
      </c>
      <c r="P34" s="91">
        <f t="shared" si="5"/>
        <v>55</v>
      </c>
      <c r="Q34"/>
    </row>
    <row r="35" spans="1:17" ht="14.45">
      <c r="A35" s="44">
        <v>33</v>
      </c>
      <c r="B35" s="73" t="s">
        <v>52</v>
      </c>
      <c r="C35" s="45">
        <v>1996030</v>
      </c>
      <c r="D35" s="4">
        <f t="shared" si="0"/>
        <v>8.8648397372077911E-4</v>
      </c>
      <c r="E35" s="72">
        <f>+IF(D35&gt;$E$44,50,IF(AND(D35&gt;$E$45,D35&lt;=$E$44),40,IF(AND(D35&gt;$E$46,D35&lt;=$E$45),30,IF(AND(D35&gt;$E$47,D35&lt;=$E$46),20,10))))</f>
        <v>20</v>
      </c>
      <c r="F35" s="81">
        <v>0.93908948746776932</v>
      </c>
      <c r="G35" s="73">
        <f>+IF(F35&gt;$E$52,50,IF(AND(F35&gt;$E$53,F35&lt;=$E$52),40,IF(AND(F35&gt;$E$54,F35&lt;=$E$53),30,IF(AND(F35&gt;$E$55,F35&lt;=$E$54),20,10))))</f>
        <v>10</v>
      </c>
      <c r="H35" s="33">
        <f t="shared" si="1"/>
        <v>30</v>
      </c>
      <c r="I35" s="76">
        <v>216212</v>
      </c>
      <c r="J35" s="77">
        <f t="shared" si="3"/>
        <v>1.9973728927890117E-4</v>
      </c>
      <c r="K35" s="76">
        <v>7922948</v>
      </c>
      <c r="L35" s="32">
        <f>+IF(J35&gt;$M$44,50,IF(AND(J35&gt;$M$45,J35&lt;=$M$44),40,IF(AND(J35&gt;$M$46,J35&lt;=$M$45),30,IF(AND(J35&gt;$M$47,J35&lt;=$M$46),20,10))))</f>
        <v>20</v>
      </c>
      <c r="M35" s="7">
        <f t="shared" si="2"/>
        <v>0.27304542965912704</v>
      </c>
      <c r="N35" s="5">
        <f>+IF(M35&gt;$M$52,50,IF(AND(M35&gt;$M$53,M35&lt;=$M$52),40,IF(AND(M35&gt;$M$54,M35&lt;=$M$53),30,IF(AND(M35&gt;$M$55,M35&lt;=$M$54),20,10))))</f>
        <v>30</v>
      </c>
      <c r="O35" s="6">
        <f t="shared" si="4"/>
        <v>50</v>
      </c>
      <c r="P35" s="91">
        <f t="shared" si="5"/>
        <v>40</v>
      </c>
      <c r="Q35"/>
    </row>
    <row r="36" spans="1:17" ht="14.45">
      <c r="A36" s="44">
        <v>34</v>
      </c>
      <c r="B36" s="73" t="s">
        <v>53</v>
      </c>
      <c r="C36" s="45">
        <v>1078887</v>
      </c>
      <c r="D36" s="4">
        <f>+C36/$C$38</f>
        <v>4.7915914838739406E-4</v>
      </c>
      <c r="E36" s="72">
        <f>+IF(D36&gt;$E$44,50,IF(AND(D36&gt;$E$45,D36&lt;=$E$44),40,IF(AND(D36&gt;$E$46,D36&lt;=$E$45),30,IF(AND(D36&gt;$E$47,D36&lt;=$E$46),20,10))))</f>
        <v>10</v>
      </c>
      <c r="F36" s="81">
        <v>0.98596963772132318</v>
      </c>
      <c r="G36" s="73">
        <f>+IF(F36&gt;$E$52,50,IF(AND(F36&gt;$E$53,F36&lt;=$E$52),40,IF(AND(F36&gt;$E$54,F36&lt;=$E$53),30,IF(AND(F36&gt;$E$55,F36&lt;=$E$54),20,10))))</f>
        <v>20</v>
      </c>
      <c r="H36" s="33">
        <f>+E36+G36</f>
        <v>30</v>
      </c>
      <c r="I36" s="76">
        <v>9898</v>
      </c>
      <c r="J36" s="77">
        <f t="shared" si="3"/>
        <v>9.1438018670682663E-6</v>
      </c>
      <c r="K36" s="76">
        <v>4750427</v>
      </c>
      <c r="L36" s="32">
        <f>+IF(J36&gt;$M$44,50,IF(AND(J36&gt;$M$45,J36&lt;=$M$44),40,IF(AND(J36&gt;$M$46,J36&lt;=$M$45),30,IF(AND(J36&gt;$M$47,J36&lt;=$M$46),20,10))))</f>
        <v>10</v>
      </c>
      <c r="M36" s="7">
        <f t="shared" si="2"/>
        <v>2.0847631592322977E-2</v>
      </c>
      <c r="N36" s="5">
        <f>+IF(M36&gt;$M$52,50,IF(AND(M36&gt;$M$53,M36&lt;=$M$52),40,IF(AND(M36&gt;$M$54,M36&lt;=$M$53),30,IF(AND(M36&gt;$M$55,M36&lt;=$M$54),20,10))))</f>
        <v>10</v>
      </c>
      <c r="O36" s="6">
        <f t="shared" si="4"/>
        <v>20</v>
      </c>
      <c r="P36" s="91">
        <f t="shared" si="5"/>
        <v>25</v>
      </c>
      <c r="Q36"/>
    </row>
    <row r="37" spans="1:17" ht="14.45">
      <c r="A37" s="44">
        <v>35</v>
      </c>
      <c r="B37" s="73" t="s">
        <v>54</v>
      </c>
      <c r="C37" s="45">
        <v>31646780.399999999</v>
      </c>
      <c r="D37" s="4">
        <f t="shared" si="0"/>
        <v>1.4055081158329716E-2</v>
      </c>
      <c r="E37" s="72">
        <f>+IF(D37&gt;$E$44,50,IF(AND(D37&gt;$E$45,D37&lt;=$E$44),40,IF(AND(D37&gt;$E$46,D37&lt;=$E$45),30,IF(AND(D37&gt;$E$47,D37&lt;=$E$46),20,10))))</f>
        <v>40</v>
      </c>
      <c r="F37" s="81">
        <v>0.98838893354171775</v>
      </c>
      <c r="G37" s="73">
        <f>+IF(F37&gt;$E$52,50,IF(AND(F37&gt;$E$53,F37&lt;=$E$52),40,IF(AND(F37&gt;$E$54,F37&lt;=$E$53),30,IF(AND(F37&gt;$E$55,F37&lt;=$E$54),20,10))))</f>
        <v>20</v>
      </c>
      <c r="H37" s="33">
        <f t="shared" si="1"/>
        <v>60</v>
      </c>
      <c r="I37" s="76">
        <v>27131233</v>
      </c>
      <c r="J37" s="77">
        <f t="shared" si="3"/>
        <v>2.506391381706043E-2</v>
      </c>
      <c r="K37" s="76">
        <v>152180979</v>
      </c>
      <c r="L37" s="32">
        <f>+IF(J37&gt;$M$44,50,IF(AND(J37&gt;$M$45,J37&lt;=$M$44),40,IF(AND(J37&gt;$M$46,J37&lt;=$M$45),30,IF(AND(J37&gt;$M$47,J37&lt;=$M$46),20,10))))</f>
        <v>50</v>
      </c>
      <c r="M37" s="7">
        <f t="shared" si="2"/>
        <v>1.7838202117184738</v>
      </c>
      <c r="N37" s="5">
        <f>+IF(M37&gt;$M$52,50,IF(AND(M37&gt;$M$53,M37&lt;=$M$52),40,IF(AND(M37&gt;$M$54,M37&lt;=$M$53),30,IF(AND(M37&gt;$M$55,M37&lt;=$M$54),20,10))))</f>
        <v>50</v>
      </c>
      <c r="O37" s="6">
        <f t="shared" si="4"/>
        <v>100</v>
      </c>
      <c r="P37" s="91">
        <f t="shared" si="5"/>
        <v>80</v>
      </c>
      <c r="Q37"/>
    </row>
    <row r="38" spans="1:17" ht="14.45">
      <c r="B38" s="145" t="s">
        <v>380</v>
      </c>
      <c r="C38" s="3">
        <f>SUM(C3:C37)</f>
        <v>2251625589.5999999</v>
      </c>
      <c r="D38" s="9">
        <f>SUM(D3:D37)</f>
        <v>1</v>
      </c>
      <c r="E38" s="10"/>
      <c r="F38" s="74"/>
      <c r="G38" s="2"/>
      <c r="H38" s="5"/>
      <c r="I38" s="78">
        <f>SUM(I3:I37)</f>
        <v>1082481898</v>
      </c>
      <c r="J38" s="79">
        <f>SUM(J3:J37)</f>
        <v>1</v>
      </c>
      <c r="K38" s="76">
        <f>SUM(K3:K37)</f>
        <v>10830850607</v>
      </c>
      <c r="L38" s="32"/>
      <c r="M38" s="2"/>
      <c r="N38" s="2"/>
      <c r="O38" s="2"/>
      <c r="P38" s="44"/>
    </row>
    <row r="42" spans="1:17" ht="14.45" customHeight="1">
      <c r="C42" s="292" t="s">
        <v>381</v>
      </c>
      <c r="D42" s="292"/>
      <c r="I42" s="15"/>
      <c r="K42" s="293" t="s">
        <v>382</v>
      </c>
      <c r="L42" s="295"/>
    </row>
    <row r="43" spans="1:17">
      <c r="C43" s="110" t="s">
        <v>383</v>
      </c>
      <c r="D43" s="110" t="s">
        <v>247</v>
      </c>
      <c r="E43" s="110" t="s">
        <v>63</v>
      </c>
      <c r="F43" s="12"/>
      <c r="K43" s="111" t="s">
        <v>383</v>
      </c>
      <c r="L43" s="112" t="s">
        <v>247</v>
      </c>
      <c r="M43" s="110" t="s">
        <v>384</v>
      </c>
      <c r="N43" s="12"/>
    </row>
    <row r="44" spans="1:17" ht="16.5" customHeight="1">
      <c r="C44" s="75" t="s">
        <v>385</v>
      </c>
      <c r="D44" s="161">
        <v>50</v>
      </c>
      <c r="E44" s="259">
        <f>PERCENTILE($D$3:$D$37,0.8)</f>
        <v>1.9044174874392718E-2</v>
      </c>
      <c r="F44" s="12"/>
      <c r="K44" s="28" t="s">
        <v>386</v>
      </c>
      <c r="L44" s="80">
        <v>50</v>
      </c>
      <c r="M44" s="259">
        <f>PERCENTILE($J$3:$J$37,0.8)</f>
        <v>2.1262526461204623E-2</v>
      </c>
      <c r="N44" s="12"/>
    </row>
    <row r="45" spans="1:17" ht="16.5" customHeight="1">
      <c r="C45" s="28" t="s">
        <v>387</v>
      </c>
      <c r="D45" s="80">
        <v>40</v>
      </c>
      <c r="E45" s="260">
        <f>PERCENTILE($D$3:$D$37,0.6)</f>
        <v>5.2335821614522653E-3</v>
      </c>
      <c r="F45" s="12"/>
      <c r="K45" s="28" t="s">
        <v>388</v>
      </c>
      <c r="L45" s="80">
        <v>40</v>
      </c>
      <c r="M45" s="260">
        <f>PERCENTILE($J$3:$J$37,0.6)</f>
        <v>2.8301960574679281E-3</v>
      </c>
      <c r="N45" s="12"/>
    </row>
    <row r="46" spans="1:17" ht="16.5" customHeight="1">
      <c r="C46" s="28" t="s">
        <v>389</v>
      </c>
      <c r="D46" s="80">
        <v>30</v>
      </c>
      <c r="E46" s="260">
        <f>PERCENTILE($D$3:$D$37,0.4)</f>
        <v>2.964490735418315E-3</v>
      </c>
      <c r="F46" s="12"/>
      <c r="K46" s="28" t="s">
        <v>390</v>
      </c>
      <c r="L46" s="80">
        <v>30</v>
      </c>
      <c r="M46" s="264">
        <f>PERCENTILE($J$3:$J$37,0.4)</f>
        <v>5.1201484387316761E-4</v>
      </c>
      <c r="N46" s="12"/>
    </row>
    <row r="47" spans="1:17" ht="16.5" customHeight="1">
      <c r="C47" s="28" t="s">
        <v>391</v>
      </c>
      <c r="D47" s="80">
        <v>20</v>
      </c>
      <c r="E47" s="260">
        <f>PERCENTILE($D$3:$D$37,0.2)</f>
        <v>8.6961836330339795E-4</v>
      </c>
      <c r="F47" s="12"/>
      <c r="K47" s="28" t="s">
        <v>392</v>
      </c>
      <c r="L47" s="27">
        <v>20</v>
      </c>
      <c r="M47" s="265">
        <f>PERCENTILE($J$3:$J$37,0.2)</f>
        <v>1.1344263606337003E-4</v>
      </c>
      <c r="N47" s="12"/>
    </row>
    <row r="48" spans="1:17" ht="16.5" customHeight="1">
      <c r="C48" s="28" t="s">
        <v>393</v>
      </c>
      <c r="D48" s="80">
        <v>10</v>
      </c>
      <c r="E48" s="27"/>
      <c r="F48" s="27"/>
      <c r="K48" s="266" t="s">
        <v>394</v>
      </c>
      <c r="L48" s="81">
        <v>10</v>
      </c>
      <c r="M48" s="263"/>
      <c r="N48" s="12"/>
    </row>
    <row r="49" spans="3:14" ht="15" customHeight="1">
      <c r="E49" s="27"/>
      <c r="F49" s="27"/>
      <c r="L49"/>
    </row>
    <row r="50" spans="3:14" ht="14.45" customHeight="1">
      <c r="C50" s="293" t="s">
        <v>395</v>
      </c>
      <c r="D50" s="294"/>
      <c r="E50" s="27"/>
      <c r="F50" s="27"/>
      <c r="K50" s="293" t="s">
        <v>396</v>
      </c>
      <c r="L50" s="295"/>
    </row>
    <row r="51" spans="3:14">
      <c r="C51" s="111" t="s">
        <v>383</v>
      </c>
      <c r="D51" s="112" t="s">
        <v>247</v>
      </c>
      <c r="E51" s="110" t="s">
        <v>63</v>
      </c>
      <c r="F51" s="12"/>
      <c r="K51" s="111" t="s">
        <v>383</v>
      </c>
      <c r="L51" s="112" t="s">
        <v>247</v>
      </c>
      <c r="M51" s="110" t="s">
        <v>384</v>
      </c>
      <c r="N51" s="261"/>
    </row>
    <row r="52" spans="3:14">
      <c r="C52" s="28" t="s">
        <v>397</v>
      </c>
      <c r="D52" s="80">
        <v>50</v>
      </c>
      <c r="E52" s="267">
        <f>PERCENTILE($F$3:$F$37,0.8)</f>
        <v>1.1079388193848476</v>
      </c>
      <c r="F52" s="12"/>
      <c r="K52" s="28" t="s">
        <v>398</v>
      </c>
      <c r="L52" s="80">
        <v>50</v>
      </c>
      <c r="M52" s="267">
        <f>PERCENTILE($M$3:$M$37,0.8)</f>
        <v>1.1099558314213367</v>
      </c>
      <c r="N52" s="262"/>
    </row>
    <row r="53" spans="3:14">
      <c r="C53" s="28" t="s">
        <v>399</v>
      </c>
      <c r="D53" s="80">
        <v>40</v>
      </c>
      <c r="E53" s="268">
        <f>PERCENTILE($F$3:$F$37,0.6)</f>
        <v>1.0404239789222482</v>
      </c>
      <c r="F53" s="12"/>
      <c r="K53" s="28" t="s">
        <v>400</v>
      </c>
      <c r="L53" s="80">
        <v>40</v>
      </c>
      <c r="M53" s="268">
        <f>PERCENTILE($M$3:$M$37,0.6)</f>
        <v>0.49047568405747005</v>
      </c>
      <c r="N53" s="262"/>
    </row>
    <row r="54" spans="3:14">
      <c r="C54" s="28" t="s">
        <v>401</v>
      </c>
      <c r="D54" s="80">
        <v>30</v>
      </c>
      <c r="E54" s="268">
        <f>PERCENTILE($F$3:$F$37,0.4)</f>
        <v>1.0053450733061722</v>
      </c>
      <c r="F54" s="12"/>
      <c r="K54" s="28" t="s">
        <v>402</v>
      </c>
      <c r="L54" s="80">
        <v>30</v>
      </c>
      <c r="M54" s="268">
        <f>PERCENTILE($M$3:$M$37,0.4)</f>
        <v>0.22119072032558118</v>
      </c>
      <c r="N54" s="262"/>
    </row>
    <row r="55" spans="3:14">
      <c r="C55" s="28" t="s">
        <v>403</v>
      </c>
      <c r="D55" s="80">
        <v>20</v>
      </c>
      <c r="E55" s="268">
        <f>PERCENTILE($F$3:$F$37,0.2)</f>
        <v>0.9436561912745417</v>
      </c>
      <c r="F55" s="12"/>
      <c r="K55" s="28" t="s">
        <v>404</v>
      </c>
      <c r="L55" s="80">
        <v>20</v>
      </c>
      <c r="M55" s="268">
        <f>PERCENTILE($M$3:$M$37,0.2)</f>
        <v>7.4074233524359406E-2</v>
      </c>
      <c r="N55" s="262"/>
    </row>
    <row r="56" spans="3:14" ht="14.45">
      <c r="C56" s="28" t="s">
        <v>405</v>
      </c>
      <c r="D56" s="80">
        <v>10</v>
      </c>
      <c r="K56" s="28" t="s">
        <v>406</v>
      </c>
      <c r="L56" s="80">
        <v>10</v>
      </c>
      <c r="N56" s="34"/>
    </row>
  </sheetData>
  <mergeCells count="5">
    <mergeCell ref="A1:P1"/>
    <mergeCell ref="C42:D42"/>
    <mergeCell ref="C50:D50"/>
    <mergeCell ref="K42:L42"/>
    <mergeCell ref="K50:L50"/>
  </mergeCells>
  <pageMargins left="0.7" right="0.7" top="0.75" bottom="0.75" header="0.3" footer="0.3"/>
  <headerFooter>
    <oddFooter>&amp;L_x000D_&amp;1#&amp;"Aptos"&amp;10&amp;K000000 Informacion publica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9C690-3B86-4E71-AE0A-CBA197E7B9B4}">
  <dimension ref="A1:E40"/>
  <sheetViews>
    <sheetView zoomScale="80" zoomScaleNormal="80" workbookViewId="0">
      <selection activeCell="A2" sqref="A2:E2"/>
    </sheetView>
  </sheetViews>
  <sheetFormatPr defaultColWidth="8.85546875" defaultRowHeight="14.45"/>
  <cols>
    <col min="1" max="1" width="5" style="12" customWidth="1"/>
    <col min="2" max="2" width="35" customWidth="1"/>
    <col min="3" max="3" width="13" customWidth="1"/>
    <col min="4" max="4" width="75" customWidth="1"/>
    <col min="5" max="5" width="55" customWidth="1"/>
  </cols>
  <sheetData>
    <row r="1" spans="1:5" ht="32.25" customHeight="1">
      <c r="A1" s="296" t="s">
        <v>407</v>
      </c>
      <c r="B1" s="296"/>
      <c r="C1" s="296"/>
      <c r="D1" s="296"/>
      <c r="E1" s="296"/>
    </row>
    <row r="2" spans="1:5" ht="35.25" customHeight="1">
      <c r="A2" s="305" t="s">
        <v>408</v>
      </c>
      <c r="B2" s="306"/>
      <c r="C2" s="306"/>
      <c r="D2" s="306"/>
      <c r="E2" s="306"/>
    </row>
    <row r="3" spans="1:5" ht="30" customHeight="1">
      <c r="A3" s="125" t="s">
        <v>11</v>
      </c>
      <c r="B3" s="125" t="s">
        <v>124</v>
      </c>
      <c r="C3" s="102" t="s">
        <v>409</v>
      </c>
      <c r="D3" s="125" t="s">
        <v>410</v>
      </c>
      <c r="E3" s="125" t="s">
        <v>411</v>
      </c>
    </row>
    <row r="4" spans="1:5">
      <c r="A4" s="205">
        <v>1</v>
      </c>
      <c r="B4" s="208" t="s">
        <v>18</v>
      </c>
      <c r="C4" s="206">
        <v>0</v>
      </c>
      <c r="D4" s="207" t="s">
        <v>412</v>
      </c>
      <c r="E4" s="207" t="s">
        <v>413</v>
      </c>
    </row>
    <row r="5" spans="1:5">
      <c r="A5" s="205">
        <v>2</v>
      </c>
      <c r="B5" s="208" t="s">
        <v>20</v>
      </c>
      <c r="C5" s="206">
        <v>0</v>
      </c>
      <c r="D5" s="207" t="s">
        <v>412</v>
      </c>
      <c r="E5" s="207" t="s">
        <v>413</v>
      </c>
    </row>
    <row r="6" spans="1:5">
      <c r="A6" s="205">
        <v>3</v>
      </c>
      <c r="B6" s="208" t="s">
        <v>21</v>
      </c>
      <c r="C6" s="206">
        <v>0</v>
      </c>
      <c r="D6" s="207" t="s">
        <v>412</v>
      </c>
      <c r="E6" s="207" t="s">
        <v>413</v>
      </c>
    </row>
    <row r="7" spans="1:5">
      <c r="A7" s="205">
        <v>4</v>
      </c>
      <c r="B7" s="208" t="s">
        <v>23</v>
      </c>
      <c r="C7" s="206">
        <v>0</v>
      </c>
      <c r="D7" s="207" t="s">
        <v>412</v>
      </c>
      <c r="E7" s="207" t="s">
        <v>413</v>
      </c>
    </row>
    <row r="8" spans="1:5">
      <c r="A8" s="205">
        <v>5</v>
      </c>
      <c r="B8" s="208" t="s">
        <v>24</v>
      </c>
      <c r="C8" s="206">
        <v>0</v>
      </c>
      <c r="D8" s="207" t="s">
        <v>412</v>
      </c>
      <c r="E8" s="207" t="s">
        <v>413</v>
      </c>
    </row>
    <row r="9" spans="1:5">
      <c r="A9" s="205">
        <v>6</v>
      </c>
      <c r="B9" s="208" t="s">
        <v>25</v>
      </c>
      <c r="C9" s="206">
        <v>50</v>
      </c>
      <c r="D9" s="207" t="s">
        <v>414</v>
      </c>
      <c r="E9" s="207" t="s">
        <v>415</v>
      </c>
    </row>
    <row r="10" spans="1:5">
      <c r="A10" s="205">
        <v>7</v>
      </c>
      <c r="B10" s="208" t="s">
        <v>26</v>
      </c>
      <c r="C10" s="206">
        <v>0</v>
      </c>
      <c r="D10" s="207" t="s">
        <v>412</v>
      </c>
      <c r="E10" s="207" t="s">
        <v>413</v>
      </c>
    </row>
    <row r="11" spans="1:5">
      <c r="A11" s="205">
        <v>8</v>
      </c>
      <c r="B11" s="208" t="s">
        <v>27</v>
      </c>
      <c r="C11" s="206">
        <v>0</v>
      </c>
      <c r="D11" s="207" t="s">
        <v>412</v>
      </c>
      <c r="E11" s="207" t="s">
        <v>413</v>
      </c>
    </row>
    <row r="12" spans="1:5">
      <c r="A12" s="205">
        <v>9</v>
      </c>
      <c r="B12" s="208" t="s">
        <v>28</v>
      </c>
      <c r="C12" s="206">
        <v>100</v>
      </c>
      <c r="D12" s="207" t="s">
        <v>416</v>
      </c>
      <c r="E12" s="207" t="s">
        <v>417</v>
      </c>
    </row>
    <row r="13" spans="1:5">
      <c r="A13" s="205">
        <v>10</v>
      </c>
      <c r="B13" s="208" t="s">
        <v>29</v>
      </c>
      <c r="C13" s="206">
        <v>50</v>
      </c>
      <c r="D13" s="207" t="s">
        <v>414</v>
      </c>
      <c r="E13" s="207" t="s">
        <v>415</v>
      </c>
    </row>
    <row r="14" spans="1:5">
      <c r="A14" s="205">
        <v>11</v>
      </c>
      <c r="B14" s="208" t="s">
        <v>30</v>
      </c>
      <c r="C14" s="206">
        <v>100</v>
      </c>
      <c r="D14" s="207" t="s">
        <v>418</v>
      </c>
      <c r="E14" s="207" t="s">
        <v>417</v>
      </c>
    </row>
    <row r="15" spans="1:5">
      <c r="A15" s="205">
        <v>12</v>
      </c>
      <c r="B15" s="208" t="s">
        <v>31</v>
      </c>
      <c r="C15" s="206">
        <v>0</v>
      </c>
      <c r="D15" s="207" t="s">
        <v>412</v>
      </c>
      <c r="E15" s="207" t="s">
        <v>413</v>
      </c>
    </row>
    <row r="16" spans="1:5">
      <c r="A16" s="205">
        <v>13</v>
      </c>
      <c r="B16" s="208" t="s">
        <v>32</v>
      </c>
      <c r="C16" s="206">
        <v>0</v>
      </c>
      <c r="D16" s="207" t="s">
        <v>412</v>
      </c>
      <c r="E16" s="207" t="s">
        <v>413</v>
      </c>
    </row>
    <row r="17" spans="1:5">
      <c r="A17" s="205">
        <v>14</v>
      </c>
      <c r="B17" s="208" t="s">
        <v>33</v>
      </c>
      <c r="C17" s="206">
        <v>0</v>
      </c>
      <c r="D17" s="207" t="s">
        <v>412</v>
      </c>
      <c r="E17" s="207" t="s">
        <v>413</v>
      </c>
    </row>
    <row r="18" spans="1:5">
      <c r="A18" s="205">
        <v>15</v>
      </c>
      <c r="B18" s="208" t="s">
        <v>34</v>
      </c>
      <c r="C18" s="206">
        <v>0</v>
      </c>
      <c r="D18" s="207" t="s">
        <v>412</v>
      </c>
      <c r="E18" s="207" t="s">
        <v>413</v>
      </c>
    </row>
    <row r="19" spans="1:5">
      <c r="A19" s="205">
        <v>16</v>
      </c>
      <c r="B19" s="208" t="s">
        <v>35</v>
      </c>
      <c r="C19" s="206">
        <v>0</v>
      </c>
      <c r="D19" s="207" t="s">
        <v>412</v>
      </c>
      <c r="E19" s="207" t="s">
        <v>413</v>
      </c>
    </row>
    <row r="20" spans="1:5">
      <c r="A20" s="205">
        <v>17</v>
      </c>
      <c r="B20" s="208" t="s">
        <v>36</v>
      </c>
      <c r="C20" s="206">
        <v>0</v>
      </c>
      <c r="D20" s="207" t="s">
        <v>412</v>
      </c>
      <c r="E20" s="207" t="s">
        <v>413</v>
      </c>
    </row>
    <row r="21" spans="1:5">
      <c r="A21" s="205">
        <v>18</v>
      </c>
      <c r="B21" s="208" t="s">
        <v>37</v>
      </c>
      <c r="C21" s="206">
        <v>0</v>
      </c>
      <c r="D21" s="207" t="s">
        <v>412</v>
      </c>
      <c r="E21" s="207" t="s">
        <v>413</v>
      </c>
    </row>
    <row r="22" spans="1:5">
      <c r="A22" s="205">
        <v>19</v>
      </c>
      <c r="B22" s="208" t="s">
        <v>38</v>
      </c>
      <c r="C22" s="206">
        <v>0</v>
      </c>
      <c r="D22" s="207" t="s">
        <v>412</v>
      </c>
      <c r="E22" s="207" t="s">
        <v>413</v>
      </c>
    </row>
    <row r="23" spans="1:5">
      <c r="A23" s="205">
        <v>20</v>
      </c>
      <c r="B23" s="208" t="s">
        <v>191</v>
      </c>
      <c r="C23" s="206">
        <v>50</v>
      </c>
      <c r="D23" s="207" t="s">
        <v>414</v>
      </c>
      <c r="E23" s="207" t="s">
        <v>415</v>
      </c>
    </row>
    <row r="24" spans="1:5">
      <c r="A24" s="205">
        <v>21</v>
      </c>
      <c r="B24" s="208" t="s">
        <v>40</v>
      </c>
      <c r="C24" s="206">
        <v>0</v>
      </c>
      <c r="D24" s="207" t="s">
        <v>412</v>
      </c>
      <c r="E24" s="207" t="s">
        <v>413</v>
      </c>
    </row>
    <row r="25" spans="1:5">
      <c r="A25" s="205">
        <v>22</v>
      </c>
      <c r="B25" s="208" t="s">
        <v>41</v>
      </c>
      <c r="C25" s="206">
        <v>100</v>
      </c>
      <c r="D25" s="207" t="s">
        <v>419</v>
      </c>
      <c r="E25" s="207" t="s">
        <v>417</v>
      </c>
    </row>
    <row r="26" spans="1:5">
      <c r="A26" s="205">
        <v>23</v>
      </c>
      <c r="B26" s="208" t="s">
        <v>42</v>
      </c>
      <c r="C26" s="206">
        <v>0</v>
      </c>
      <c r="D26" s="207" t="s">
        <v>412</v>
      </c>
      <c r="E26" s="207" t="s">
        <v>413</v>
      </c>
    </row>
    <row r="27" spans="1:5">
      <c r="A27" s="205">
        <v>24</v>
      </c>
      <c r="B27" s="208" t="s">
        <v>43</v>
      </c>
      <c r="C27" s="206">
        <v>100</v>
      </c>
      <c r="D27" s="207" t="s">
        <v>420</v>
      </c>
      <c r="E27" s="207" t="s">
        <v>417</v>
      </c>
    </row>
    <row r="28" spans="1:5">
      <c r="A28" s="205">
        <v>25</v>
      </c>
      <c r="B28" s="208" t="s">
        <v>44</v>
      </c>
      <c r="C28" s="206">
        <v>50</v>
      </c>
      <c r="D28" s="207" t="s">
        <v>414</v>
      </c>
      <c r="E28" s="207" t="s">
        <v>415</v>
      </c>
    </row>
    <row r="29" spans="1:5">
      <c r="A29" s="205">
        <v>26</v>
      </c>
      <c r="B29" s="208" t="s">
        <v>45</v>
      </c>
      <c r="C29" s="206">
        <v>0</v>
      </c>
      <c r="D29" s="207" t="s">
        <v>412</v>
      </c>
      <c r="E29" s="207" t="s">
        <v>413</v>
      </c>
    </row>
    <row r="30" spans="1:5">
      <c r="A30" s="205">
        <v>27</v>
      </c>
      <c r="B30" s="208" t="s">
        <v>46</v>
      </c>
      <c r="C30" s="206">
        <v>0</v>
      </c>
      <c r="D30" s="207" t="s">
        <v>412</v>
      </c>
      <c r="E30" s="207" t="s">
        <v>413</v>
      </c>
    </row>
    <row r="31" spans="1:5">
      <c r="A31" s="205">
        <v>28</v>
      </c>
      <c r="B31" s="208" t="s">
        <v>47</v>
      </c>
      <c r="C31" s="206">
        <v>0</v>
      </c>
      <c r="D31" s="207" t="s">
        <v>412</v>
      </c>
      <c r="E31" s="207" t="s">
        <v>413</v>
      </c>
    </row>
    <row r="32" spans="1:5">
      <c r="A32" s="205">
        <v>29</v>
      </c>
      <c r="B32" s="208" t="s">
        <v>48</v>
      </c>
      <c r="C32" s="206">
        <v>0</v>
      </c>
      <c r="D32" s="207" t="s">
        <v>412</v>
      </c>
      <c r="E32" s="207" t="s">
        <v>413</v>
      </c>
    </row>
    <row r="33" spans="1:5">
      <c r="A33" s="205">
        <v>30</v>
      </c>
      <c r="B33" s="208" t="s">
        <v>49</v>
      </c>
      <c r="C33" s="206">
        <v>0</v>
      </c>
      <c r="D33" s="207" t="s">
        <v>412</v>
      </c>
      <c r="E33" s="207" t="s">
        <v>413</v>
      </c>
    </row>
    <row r="34" spans="1:5">
      <c r="A34" s="205">
        <v>31</v>
      </c>
      <c r="B34" s="208" t="s">
        <v>50</v>
      </c>
      <c r="C34" s="206">
        <v>0</v>
      </c>
      <c r="D34" s="207" t="s">
        <v>412</v>
      </c>
      <c r="E34" s="207" t="s">
        <v>413</v>
      </c>
    </row>
    <row r="35" spans="1:5">
      <c r="A35" s="205">
        <v>32</v>
      </c>
      <c r="B35" s="208" t="s">
        <v>51</v>
      </c>
      <c r="C35" s="206">
        <v>0</v>
      </c>
      <c r="D35" s="207" t="s">
        <v>412</v>
      </c>
      <c r="E35" s="207" t="s">
        <v>413</v>
      </c>
    </row>
    <row r="36" spans="1:5">
      <c r="A36" s="205">
        <v>33</v>
      </c>
      <c r="B36" s="208" t="s">
        <v>52</v>
      </c>
      <c r="C36" s="206">
        <v>0</v>
      </c>
      <c r="D36" s="207" t="s">
        <v>412</v>
      </c>
      <c r="E36" s="207" t="s">
        <v>413</v>
      </c>
    </row>
    <row r="37" spans="1:5">
      <c r="A37" s="205">
        <v>34</v>
      </c>
      <c r="B37" s="208" t="s">
        <v>53</v>
      </c>
      <c r="C37" s="206">
        <v>0</v>
      </c>
      <c r="D37" s="207" t="s">
        <v>412</v>
      </c>
      <c r="E37" s="207" t="s">
        <v>413</v>
      </c>
    </row>
    <row r="38" spans="1:5">
      <c r="A38" s="205">
        <v>35</v>
      </c>
      <c r="B38" s="208" t="s">
        <v>54</v>
      </c>
      <c r="C38" s="206">
        <v>0</v>
      </c>
      <c r="D38" s="207" t="s">
        <v>412</v>
      </c>
      <c r="E38" s="207" t="s">
        <v>413</v>
      </c>
    </row>
    <row r="40" spans="1:5">
      <c r="A40" s="307" t="s">
        <v>421</v>
      </c>
      <c r="B40" s="308"/>
      <c r="C40" s="308"/>
      <c r="D40" s="308"/>
      <c r="E40" s="308"/>
    </row>
  </sheetData>
  <sortState xmlns:xlrd2="http://schemas.microsoft.com/office/spreadsheetml/2017/richdata2" ref="A4:E38">
    <sortCondition ref="B4:B38"/>
  </sortState>
  <mergeCells count="3">
    <mergeCell ref="A1:E1"/>
    <mergeCell ref="A2:E2"/>
    <mergeCell ref="A40:E40"/>
  </mergeCells>
  <pageMargins left="0.75" right="0.75" top="1" bottom="1" header="0.5" footer="0.5"/>
  <headerFooter>
    <oddFooter>&amp;L_x000D_&amp;1#&amp;"Aptos"&amp;10&amp;K000000 Informacion publica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F549F-4D84-405E-99E4-080E2560E1F0}">
  <dimension ref="A1:M102"/>
  <sheetViews>
    <sheetView topLeftCell="A62" zoomScale="134" workbookViewId="0">
      <selection activeCell="D8" sqref="D8"/>
    </sheetView>
  </sheetViews>
  <sheetFormatPr defaultColWidth="11.42578125" defaultRowHeight="15" customHeight="1"/>
  <cols>
    <col min="1" max="1" width="3.7109375" customWidth="1"/>
    <col min="2" max="2" width="32.140625" customWidth="1"/>
    <col min="3" max="3" width="20" style="61" customWidth="1"/>
    <col min="4" max="4" width="27.42578125" customWidth="1"/>
    <col min="5" max="5" width="11.42578125" customWidth="1"/>
    <col min="6" max="6" width="15.7109375" customWidth="1"/>
    <col min="7" max="7" width="80.28515625" customWidth="1"/>
    <col min="8" max="8" width="11.42578125" customWidth="1"/>
    <col min="9" max="9" width="17.42578125" customWidth="1"/>
    <col min="10" max="10" width="18.85546875" customWidth="1"/>
    <col min="11" max="11" width="11.42578125" customWidth="1"/>
    <col min="12" max="12" width="20" customWidth="1"/>
    <col min="13" max="13" width="21" customWidth="1"/>
  </cols>
  <sheetData>
    <row r="1" spans="1:8" ht="25.5" customHeight="1">
      <c r="A1" s="291" t="s">
        <v>422</v>
      </c>
      <c r="B1" s="291"/>
      <c r="C1" s="291"/>
      <c r="D1" s="291"/>
      <c r="E1" s="291"/>
      <c r="F1" s="291"/>
      <c r="G1" s="291"/>
    </row>
    <row r="2" spans="1:8" ht="15" customHeight="1">
      <c r="A2" s="257" t="s">
        <v>423</v>
      </c>
      <c r="B2" s="257"/>
      <c r="C2" s="257"/>
    </row>
    <row r="3" spans="1:8" ht="14.45">
      <c r="A3" s="130" t="s">
        <v>357</v>
      </c>
      <c r="B3" s="130" t="s">
        <v>424</v>
      </c>
      <c r="C3" s="131" t="s">
        <v>425</v>
      </c>
      <c r="D3" s="63"/>
      <c r="F3" s="113" t="s">
        <v>426</v>
      </c>
      <c r="G3" s="113" t="s">
        <v>427</v>
      </c>
    </row>
    <row r="4" spans="1:8" ht="24.95">
      <c r="A4" s="146">
        <v>1</v>
      </c>
      <c r="B4" s="243" t="s">
        <v>18</v>
      </c>
      <c r="C4" s="104">
        <f>L79</f>
        <v>50</v>
      </c>
      <c r="D4" s="64"/>
      <c r="F4" s="24" t="s">
        <v>428</v>
      </c>
      <c r="G4" s="246" t="s">
        <v>429</v>
      </c>
    </row>
    <row r="5" spans="1:8" ht="24.95">
      <c r="A5" s="21">
        <v>2</v>
      </c>
      <c r="B5" s="244" t="s">
        <v>20</v>
      </c>
      <c r="C5" s="103">
        <f>L90</f>
        <v>70.363621662981856</v>
      </c>
      <c r="D5" s="64"/>
      <c r="F5" s="24" t="s">
        <v>430</v>
      </c>
      <c r="G5" s="246" t="s">
        <v>431</v>
      </c>
      <c r="H5" s="25"/>
    </row>
    <row r="6" spans="1:8" ht="24.95">
      <c r="A6" s="21">
        <v>3</v>
      </c>
      <c r="B6" s="244" t="s">
        <v>21</v>
      </c>
      <c r="C6" s="103">
        <f>L91</f>
        <v>39.196754939309344</v>
      </c>
      <c r="D6" s="64"/>
      <c r="F6" s="24" t="s">
        <v>432</v>
      </c>
      <c r="G6" s="246" t="s">
        <v>433</v>
      </c>
      <c r="H6" s="25"/>
    </row>
    <row r="7" spans="1:8" ht="24.95">
      <c r="A7" s="21">
        <v>4</v>
      </c>
      <c r="B7" s="244" t="s">
        <v>23</v>
      </c>
      <c r="C7" s="103">
        <f>L62</f>
        <v>76.315789473684205</v>
      </c>
      <c r="D7" s="64"/>
      <c r="F7" s="24" t="s">
        <v>434</v>
      </c>
      <c r="G7" s="246" t="s">
        <v>435</v>
      </c>
    </row>
    <row r="8" spans="1:8" ht="37.5">
      <c r="A8" s="21">
        <v>5</v>
      </c>
      <c r="B8" s="244" t="s">
        <v>24</v>
      </c>
      <c r="C8" s="103">
        <f>L46</f>
        <v>50</v>
      </c>
      <c r="D8" s="64"/>
      <c r="F8" s="24" t="s">
        <v>436</v>
      </c>
      <c r="G8" s="246" t="s">
        <v>437</v>
      </c>
    </row>
    <row r="9" spans="1:8" ht="14.45">
      <c r="A9" s="21">
        <v>6</v>
      </c>
      <c r="B9" s="244" t="s">
        <v>25</v>
      </c>
      <c r="C9" s="103">
        <f>L67</f>
        <v>57.352941176470587</v>
      </c>
      <c r="D9" s="64"/>
    </row>
    <row r="10" spans="1:8" ht="14.45">
      <c r="A10" s="21">
        <v>7</v>
      </c>
      <c r="B10" s="244" t="s">
        <v>26</v>
      </c>
      <c r="C10" s="103">
        <f>L69</f>
        <v>60.526315789473685</v>
      </c>
      <c r="D10" s="64"/>
    </row>
    <row r="11" spans="1:8" ht="14.25" customHeight="1">
      <c r="A11" s="21">
        <v>8</v>
      </c>
      <c r="B11" s="244" t="s">
        <v>27</v>
      </c>
      <c r="C11" s="103">
        <f>L75</f>
        <v>50</v>
      </c>
      <c r="D11" s="64"/>
    </row>
    <row r="12" spans="1:8" ht="14.25" customHeight="1">
      <c r="A12" s="21">
        <v>9</v>
      </c>
      <c r="B12" s="244" t="s">
        <v>28</v>
      </c>
      <c r="C12" s="103">
        <f>L93</f>
        <v>100</v>
      </c>
      <c r="D12" s="64"/>
    </row>
    <row r="13" spans="1:8" ht="14.45">
      <c r="A13" s="21">
        <v>10</v>
      </c>
      <c r="B13" s="244" t="s">
        <v>29</v>
      </c>
      <c r="C13" s="103">
        <f>L49</f>
        <v>76.315789473684205</v>
      </c>
      <c r="D13" s="64"/>
    </row>
    <row r="14" spans="1:8" ht="14.45">
      <c r="A14" s="21">
        <v>11</v>
      </c>
      <c r="B14" s="244" t="s">
        <v>30</v>
      </c>
      <c r="C14" s="103">
        <f>L81</f>
        <v>0</v>
      </c>
      <c r="D14" s="64"/>
    </row>
    <row r="15" spans="1:8" ht="14.45">
      <c r="A15" s="21">
        <v>12</v>
      </c>
      <c r="B15" s="245" t="s">
        <v>31</v>
      </c>
      <c r="C15" s="103">
        <f>L92</f>
        <v>50.319305135417224</v>
      </c>
      <c r="D15" s="64"/>
    </row>
    <row r="16" spans="1:8" ht="14.45">
      <c r="A16" s="21">
        <v>13</v>
      </c>
      <c r="B16" s="244" t="s">
        <v>32</v>
      </c>
      <c r="C16" s="103">
        <f>L85</f>
        <v>60</v>
      </c>
      <c r="D16" s="176"/>
    </row>
    <row r="17" spans="1:4" ht="14.45">
      <c r="A17" s="21">
        <v>14</v>
      </c>
      <c r="B17" s="244" t="s">
        <v>33</v>
      </c>
      <c r="C17" s="103">
        <f>L50</f>
        <v>64.999999999999986</v>
      </c>
      <c r="D17" s="64"/>
    </row>
    <row r="18" spans="1:4" ht="14.45">
      <c r="A18" s="21">
        <v>15</v>
      </c>
      <c r="B18" s="244" t="s">
        <v>34</v>
      </c>
      <c r="C18" s="103">
        <f>L71</f>
        <v>60.638297872340431</v>
      </c>
      <c r="D18" s="64"/>
    </row>
    <row r="19" spans="1:4" ht="14.45">
      <c r="A19" s="21">
        <v>16</v>
      </c>
      <c r="B19" s="244" t="s">
        <v>35</v>
      </c>
      <c r="C19" s="103">
        <f>L100</f>
        <v>43.060606203903802</v>
      </c>
      <c r="D19" s="65"/>
    </row>
    <row r="20" spans="1:4" ht="14.45">
      <c r="A20" s="21">
        <v>17</v>
      </c>
      <c r="B20" s="244" t="s">
        <v>36</v>
      </c>
      <c r="C20" s="103">
        <f>L51</f>
        <v>100</v>
      </c>
      <c r="D20" s="64"/>
    </row>
    <row r="21" spans="1:4" ht="14.45">
      <c r="A21" s="21">
        <v>18</v>
      </c>
      <c r="B21" s="244" t="s">
        <v>37</v>
      </c>
      <c r="C21" s="103">
        <f>L65</f>
        <v>78.571428571428569</v>
      </c>
      <c r="D21" s="64"/>
    </row>
    <row r="22" spans="1:4" ht="14.45">
      <c r="A22" s="21">
        <v>19</v>
      </c>
      <c r="B22" s="244" t="s">
        <v>379</v>
      </c>
      <c r="C22" s="103">
        <f>AVERAGE(L43,L44,L45,L59,L64,L70,L72,L74,L78,L82)</f>
        <v>54.355121750381443</v>
      </c>
      <c r="D22" s="64"/>
    </row>
    <row r="23" spans="1:4" ht="14.45">
      <c r="A23" s="21">
        <v>20</v>
      </c>
      <c r="B23" s="244" t="s">
        <v>191</v>
      </c>
      <c r="C23" s="103">
        <f>L58</f>
        <v>73.381294964028783</v>
      </c>
      <c r="D23" s="64"/>
    </row>
    <row r="24" spans="1:4" ht="14.45">
      <c r="A24" s="21">
        <v>21</v>
      </c>
      <c r="B24" s="244" t="s">
        <v>40</v>
      </c>
      <c r="C24" s="103">
        <f>L53</f>
        <v>50</v>
      </c>
      <c r="D24" s="64"/>
    </row>
    <row r="25" spans="1:4" ht="14.45">
      <c r="A25" s="21">
        <v>22</v>
      </c>
      <c r="B25" s="244" t="s">
        <v>41</v>
      </c>
      <c r="C25" s="103">
        <f>AVERAGE(L56,L68)</f>
        <v>63.636363636363633</v>
      </c>
      <c r="D25" s="64"/>
    </row>
    <row r="26" spans="1:4" ht="14.45">
      <c r="A26" s="21">
        <v>23</v>
      </c>
      <c r="B26" s="244" t="s">
        <v>42</v>
      </c>
      <c r="C26" s="103">
        <f>L54</f>
        <v>94.444444444444443</v>
      </c>
      <c r="D26" s="64"/>
    </row>
    <row r="27" spans="1:4" ht="14.45">
      <c r="A27" s="21">
        <v>24</v>
      </c>
      <c r="B27" s="244" t="s">
        <v>43</v>
      </c>
      <c r="C27" s="103">
        <f>L66</f>
        <v>62.017804154302667</v>
      </c>
      <c r="D27" s="64"/>
    </row>
    <row r="28" spans="1:4" ht="14.45">
      <c r="A28" s="21">
        <v>25</v>
      </c>
      <c r="B28" s="244" t="s">
        <v>44</v>
      </c>
      <c r="C28" s="103">
        <f>L55</f>
        <v>87.5</v>
      </c>
      <c r="D28" s="64"/>
    </row>
    <row r="29" spans="1:4" ht="14.45">
      <c r="A29" s="21">
        <v>26</v>
      </c>
      <c r="B29" s="244" t="s">
        <v>45</v>
      </c>
      <c r="C29" s="103">
        <f>L60</f>
        <v>71.15384615384616</v>
      </c>
      <c r="D29" s="64"/>
    </row>
    <row r="30" spans="1:4" ht="14.45">
      <c r="A30" s="21">
        <v>27</v>
      </c>
      <c r="B30" s="244" t="s">
        <v>46</v>
      </c>
      <c r="C30" s="103">
        <f>L99</f>
        <v>31.058789225403526</v>
      </c>
      <c r="D30" s="65"/>
    </row>
    <row r="31" spans="1:4" ht="14.45">
      <c r="A31" s="21">
        <v>28</v>
      </c>
      <c r="B31" s="244" t="s">
        <v>47</v>
      </c>
      <c r="C31" s="103">
        <f>L61</f>
        <v>77.222222222222214</v>
      </c>
      <c r="D31" s="64"/>
    </row>
    <row r="32" spans="1:4" ht="14.45">
      <c r="A32" s="21">
        <v>29</v>
      </c>
      <c r="B32" s="244" t="s">
        <v>48</v>
      </c>
      <c r="C32" s="103">
        <f>L77</f>
        <v>33.333333333333329</v>
      </c>
      <c r="D32" s="64"/>
    </row>
    <row r="33" spans="1:13" ht="14.45">
      <c r="A33" s="21">
        <v>30</v>
      </c>
      <c r="B33" s="244" t="s">
        <v>49</v>
      </c>
      <c r="C33" s="103">
        <f>L84</f>
        <v>0</v>
      </c>
      <c r="D33" s="64"/>
    </row>
    <row r="34" spans="1:13" ht="14.45">
      <c r="A34" s="21">
        <v>31</v>
      </c>
      <c r="B34" s="244" t="s">
        <v>50</v>
      </c>
      <c r="C34" s="103">
        <f>L76</f>
        <v>35.714285714285708</v>
      </c>
      <c r="D34" s="64"/>
    </row>
    <row r="35" spans="1:13" ht="14.45">
      <c r="A35" s="21">
        <v>32</v>
      </c>
      <c r="B35" s="244" t="s">
        <v>51</v>
      </c>
      <c r="C35" s="103">
        <f>L73</f>
        <v>0</v>
      </c>
      <c r="D35" s="64"/>
    </row>
    <row r="36" spans="1:13" ht="14.45">
      <c r="A36" s="21">
        <v>33</v>
      </c>
      <c r="B36" s="244" t="s">
        <v>52</v>
      </c>
      <c r="C36" s="103">
        <f>L57</f>
        <v>66.666666666666657</v>
      </c>
      <c r="D36" s="64"/>
    </row>
    <row r="37" spans="1:13" ht="14.45">
      <c r="A37" s="21">
        <v>34</v>
      </c>
      <c r="B37" s="244" t="s">
        <v>53</v>
      </c>
      <c r="C37" s="103">
        <f>L94</f>
        <v>0</v>
      </c>
      <c r="D37" s="64"/>
    </row>
    <row r="38" spans="1:13" ht="14.45">
      <c r="A38" s="21">
        <v>35</v>
      </c>
      <c r="B38" s="244" t="s">
        <v>54</v>
      </c>
      <c r="C38" s="103">
        <f>L47</f>
        <v>50</v>
      </c>
      <c r="D38" s="64"/>
    </row>
    <row r="40" spans="1:13" ht="15" customHeight="1">
      <c r="B40" s="62" t="s">
        <v>438</v>
      </c>
    </row>
    <row r="41" spans="1:13" ht="15" customHeight="1">
      <c r="B41" s="62"/>
    </row>
    <row r="42" spans="1:13" s="114" customFormat="1" ht="34.5" customHeight="1">
      <c r="B42" s="132" t="s">
        <v>439</v>
      </c>
      <c r="C42" s="133" t="s">
        <v>440</v>
      </c>
      <c r="D42" s="133" t="s">
        <v>441</v>
      </c>
      <c r="E42" s="133" t="s">
        <v>442</v>
      </c>
      <c r="F42" s="133" t="s">
        <v>443</v>
      </c>
      <c r="G42" s="133" t="s">
        <v>444</v>
      </c>
      <c r="H42" s="133" t="s">
        <v>445</v>
      </c>
      <c r="I42" s="133" t="s">
        <v>446</v>
      </c>
      <c r="J42" s="133" t="s">
        <v>447</v>
      </c>
      <c r="K42" s="133" t="s">
        <v>448</v>
      </c>
      <c r="L42" s="132" t="s">
        <v>449</v>
      </c>
      <c r="M42" s="132" t="s">
        <v>450</v>
      </c>
    </row>
    <row r="43" spans="1:13" ht="15" customHeight="1">
      <c r="B43" s="29" t="s">
        <v>379</v>
      </c>
      <c r="C43" s="71">
        <v>5</v>
      </c>
      <c r="D43" s="66" t="s">
        <v>451</v>
      </c>
      <c r="E43" s="66">
        <v>5</v>
      </c>
      <c r="F43" s="66">
        <v>0</v>
      </c>
      <c r="G43" s="66">
        <v>4</v>
      </c>
      <c r="H43" s="66">
        <v>1</v>
      </c>
      <c r="I43" s="67">
        <f t="shared" ref="I43:I84" si="0">+F43/E43</f>
        <v>0</v>
      </c>
      <c r="J43" s="67">
        <f t="shared" ref="J43:J84" si="1">+G43/E43</f>
        <v>0.8</v>
      </c>
      <c r="K43" s="67">
        <f t="shared" ref="K43:K84" si="2">+H43/E43</f>
        <v>0.2</v>
      </c>
      <c r="L43" s="169">
        <f t="shared" ref="L43:L85" si="3">+(K43*1+J43*0.5+I43*0)*100</f>
        <v>60.000000000000007</v>
      </c>
      <c r="M43" s="29" t="s">
        <v>452</v>
      </c>
    </row>
    <row r="44" spans="1:13" ht="15" customHeight="1">
      <c r="B44" s="29" t="s">
        <v>379</v>
      </c>
      <c r="C44" s="71">
        <v>6</v>
      </c>
      <c r="D44" s="66" t="s">
        <v>453</v>
      </c>
      <c r="E44" s="66">
        <v>1</v>
      </c>
      <c r="F44" s="66">
        <v>0</v>
      </c>
      <c r="G44" s="66">
        <v>0</v>
      </c>
      <c r="H44" s="66">
        <v>1</v>
      </c>
      <c r="I44" s="67">
        <f t="shared" si="0"/>
        <v>0</v>
      </c>
      <c r="J44" s="67">
        <f t="shared" si="1"/>
        <v>0</v>
      </c>
      <c r="K44" s="67">
        <f t="shared" si="2"/>
        <v>1</v>
      </c>
      <c r="L44" s="170">
        <f t="shared" si="3"/>
        <v>100</v>
      </c>
      <c r="M44" s="29" t="s">
        <v>454</v>
      </c>
    </row>
    <row r="45" spans="1:13" ht="15" customHeight="1">
      <c r="B45" s="29" t="s">
        <v>379</v>
      </c>
      <c r="C45" s="71">
        <v>12</v>
      </c>
      <c r="D45" s="66" t="s">
        <v>455</v>
      </c>
      <c r="E45" s="66">
        <v>2</v>
      </c>
      <c r="F45" s="66">
        <v>0</v>
      </c>
      <c r="G45" s="66">
        <v>1</v>
      </c>
      <c r="H45" s="66">
        <v>1</v>
      </c>
      <c r="I45" s="67">
        <f t="shared" si="0"/>
        <v>0</v>
      </c>
      <c r="J45" s="67">
        <f t="shared" si="1"/>
        <v>0.5</v>
      </c>
      <c r="K45" s="67">
        <f t="shared" si="2"/>
        <v>0.5</v>
      </c>
      <c r="L45" s="171">
        <f t="shared" si="3"/>
        <v>75</v>
      </c>
      <c r="M45" s="29" t="s">
        <v>456</v>
      </c>
    </row>
    <row r="46" spans="1:13" ht="15" customHeight="1">
      <c r="B46" s="48" t="s">
        <v>24</v>
      </c>
      <c r="C46" s="71">
        <v>13</v>
      </c>
      <c r="D46" s="66" t="s">
        <v>457</v>
      </c>
      <c r="E46" s="66">
        <v>1</v>
      </c>
      <c r="F46" s="66">
        <v>0</v>
      </c>
      <c r="G46" s="66">
        <v>1</v>
      </c>
      <c r="H46" s="66">
        <v>0</v>
      </c>
      <c r="I46" s="67">
        <f t="shared" si="0"/>
        <v>0</v>
      </c>
      <c r="J46" s="67">
        <f t="shared" si="1"/>
        <v>1</v>
      </c>
      <c r="K46" s="67">
        <f t="shared" si="2"/>
        <v>0</v>
      </c>
      <c r="L46" s="169">
        <f t="shared" si="3"/>
        <v>50</v>
      </c>
      <c r="M46" s="29" t="s">
        <v>452</v>
      </c>
    </row>
    <row r="47" spans="1:13" ht="15" customHeight="1">
      <c r="B47" s="29" t="s">
        <v>54</v>
      </c>
      <c r="C47" s="71">
        <v>17</v>
      </c>
      <c r="D47" s="66" t="s">
        <v>458</v>
      </c>
      <c r="E47" s="66">
        <v>6</v>
      </c>
      <c r="F47" s="66">
        <v>0</v>
      </c>
      <c r="G47" s="66">
        <v>6</v>
      </c>
      <c r="H47" s="66">
        <v>0</v>
      </c>
      <c r="I47" s="67">
        <f t="shared" si="0"/>
        <v>0</v>
      </c>
      <c r="J47" s="67">
        <f t="shared" si="1"/>
        <v>1</v>
      </c>
      <c r="K47" s="67">
        <f t="shared" si="2"/>
        <v>0</v>
      </c>
      <c r="L47" s="169">
        <f t="shared" si="3"/>
        <v>50</v>
      </c>
      <c r="M47" s="29" t="s">
        <v>452</v>
      </c>
    </row>
    <row r="48" spans="1:13" ht="15" customHeight="1">
      <c r="B48" s="48" t="s">
        <v>24</v>
      </c>
      <c r="C48" s="71">
        <v>24</v>
      </c>
      <c r="D48" s="66" t="s">
        <v>459</v>
      </c>
      <c r="E48" s="66">
        <v>2</v>
      </c>
      <c r="F48" s="66">
        <v>0</v>
      </c>
      <c r="G48" s="66">
        <v>0</v>
      </c>
      <c r="H48" s="66">
        <v>2</v>
      </c>
      <c r="I48" s="67">
        <f t="shared" si="0"/>
        <v>0</v>
      </c>
      <c r="J48" s="67">
        <f t="shared" si="1"/>
        <v>0</v>
      </c>
      <c r="K48" s="67">
        <f t="shared" si="2"/>
        <v>1</v>
      </c>
      <c r="L48" s="170">
        <f t="shared" si="3"/>
        <v>100</v>
      </c>
      <c r="M48" s="29" t="s">
        <v>454</v>
      </c>
    </row>
    <row r="49" spans="2:13" ht="15" customHeight="1">
      <c r="B49" s="29" t="s">
        <v>29</v>
      </c>
      <c r="C49" s="71">
        <v>25</v>
      </c>
      <c r="D49" s="66" t="s">
        <v>460</v>
      </c>
      <c r="E49" s="66">
        <v>57</v>
      </c>
      <c r="F49" s="66">
        <v>0</v>
      </c>
      <c r="G49" s="66">
        <v>27</v>
      </c>
      <c r="H49" s="66">
        <v>30</v>
      </c>
      <c r="I49" s="67">
        <f t="shared" si="0"/>
        <v>0</v>
      </c>
      <c r="J49" s="67">
        <f t="shared" si="1"/>
        <v>0.47368421052631576</v>
      </c>
      <c r="K49" s="67">
        <f t="shared" si="2"/>
        <v>0.52631578947368418</v>
      </c>
      <c r="L49" s="171">
        <f t="shared" si="3"/>
        <v>76.315789473684205</v>
      </c>
      <c r="M49" s="29" t="s">
        <v>456</v>
      </c>
    </row>
    <row r="50" spans="2:13" ht="15" customHeight="1">
      <c r="B50" s="29" t="s">
        <v>33</v>
      </c>
      <c r="C50" s="71">
        <v>29</v>
      </c>
      <c r="D50" s="66" t="s">
        <v>461</v>
      </c>
      <c r="E50" s="66">
        <v>10</v>
      </c>
      <c r="F50" s="66">
        <v>0</v>
      </c>
      <c r="G50" s="66">
        <v>7</v>
      </c>
      <c r="H50" s="66">
        <v>3</v>
      </c>
      <c r="I50" s="67">
        <f t="shared" si="0"/>
        <v>0</v>
      </c>
      <c r="J50" s="67">
        <f t="shared" si="1"/>
        <v>0.7</v>
      </c>
      <c r="K50" s="67">
        <f t="shared" si="2"/>
        <v>0.3</v>
      </c>
      <c r="L50" s="171">
        <f t="shared" si="3"/>
        <v>64.999999999999986</v>
      </c>
      <c r="M50" s="29" t="s">
        <v>456</v>
      </c>
    </row>
    <row r="51" spans="2:13" ht="15" customHeight="1">
      <c r="B51" s="29" t="s">
        <v>36</v>
      </c>
      <c r="C51" s="71">
        <v>32</v>
      </c>
      <c r="D51" s="66" t="s">
        <v>462</v>
      </c>
      <c r="E51" s="66">
        <v>6</v>
      </c>
      <c r="F51" s="66">
        <v>0</v>
      </c>
      <c r="G51" s="66">
        <v>0</v>
      </c>
      <c r="H51" s="66">
        <v>6</v>
      </c>
      <c r="I51" s="67">
        <f t="shared" si="0"/>
        <v>0</v>
      </c>
      <c r="J51" s="67">
        <f t="shared" si="1"/>
        <v>0</v>
      </c>
      <c r="K51" s="67">
        <f t="shared" si="2"/>
        <v>1</v>
      </c>
      <c r="L51" s="170">
        <f t="shared" si="3"/>
        <v>100</v>
      </c>
      <c r="M51" s="29" t="s">
        <v>454</v>
      </c>
    </row>
    <row r="52" spans="2:13" ht="15" customHeight="1">
      <c r="B52" s="48" t="s">
        <v>24</v>
      </c>
      <c r="C52" s="71">
        <v>34</v>
      </c>
      <c r="D52" s="66" t="s">
        <v>463</v>
      </c>
      <c r="E52" s="66">
        <v>2</v>
      </c>
      <c r="F52" s="66">
        <v>0</v>
      </c>
      <c r="G52" s="66">
        <v>1</v>
      </c>
      <c r="H52" s="66">
        <v>1</v>
      </c>
      <c r="I52" s="67">
        <f t="shared" si="0"/>
        <v>0</v>
      </c>
      <c r="J52" s="67">
        <f t="shared" si="1"/>
        <v>0.5</v>
      </c>
      <c r="K52" s="67">
        <f t="shared" si="2"/>
        <v>0.5</v>
      </c>
      <c r="L52" s="171">
        <f t="shared" si="3"/>
        <v>75</v>
      </c>
      <c r="M52" s="29" t="s">
        <v>456</v>
      </c>
    </row>
    <row r="53" spans="2:13" ht="15" customHeight="1">
      <c r="B53" s="48" t="s">
        <v>40</v>
      </c>
      <c r="C53" s="71">
        <v>37</v>
      </c>
      <c r="D53" s="66" t="s">
        <v>464</v>
      </c>
      <c r="E53" s="66">
        <v>2</v>
      </c>
      <c r="F53" s="66">
        <v>1</v>
      </c>
      <c r="G53" s="66">
        <v>0</v>
      </c>
      <c r="H53" s="66">
        <v>1</v>
      </c>
      <c r="I53" s="67">
        <f t="shared" si="0"/>
        <v>0.5</v>
      </c>
      <c r="J53" s="67">
        <f t="shared" si="1"/>
        <v>0</v>
      </c>
      <c r="K53" s="67">
        <f t="shared" si="2"/>
        <v>0.5</v>
      </c>
      <c r="L53" s="171">
        <f t="shared" si="3"/>
        <v>50</v>
      </c>
      <c r="M53" s="29" t="s">
        <v>452</v>
      </c>
    </row>
    <row r="54" spans="2:13" ht="15" customHeight="1">
      <c r="B54" s="29" t="s">
        <v>42</v>
      </c>
      <c r="C54" s="71">
        <v>39</v>
      </c>
      <c r="D54" s="66" t="s">
        <v>465</v>
      </c>
      <c r="E54" s="66">
        <v>9</v>
      </c>
      <c r="F54" s="66">
        <v>0</v>
      </c>
      <c r="G54" s="66">
        <v>1</v>
      </c>
      <c r="H54" s="66">
        <v>8</v>
      </c>
      <c r="I54" s="67">
        <f t="shared" si="0"/>
        <v>0</v>
      </c>
      <c r="J54" s="67">
        <f t="shared" si="1"/>
        <v>0.1111111111111111</v>
      </c>
      <c r="K54" s="67">
        <f t="shared" si="2"/>
        <v>0.88888888888888884</v>
      </c>
      <c r="L54" s="170">
        <f t="shared" si="3"/>
        <v>94.444444444444443</v>
      </c>
      <c r="M54" s="29" t="s">
        <v>454</v>
      </c>
    </row>
    <row r="55" spans="2:13" ht="15" customHeight="1">
      <c r="B55" s="29" t="s">
        <v>44</v>
      </c>
      <c r="C55" s="71">
        <v>42</v>
      </c>
      <c r="D55" s="66" t="s">
        <v>466</v>
      </c>
      <c r="E55" s="66">
        <v>8</v>
      </c>
      <c r="F55" s="66">
        <v>0</v>
      </c>
      <c r="G55" s="66">
        <v>2</v>
      </c>
      <c r="H55" s="66">
        <v>6</v>
      </c>
      <c r="I55" s="67">
        <f t="shared" si="0"/>
        <v>0</v>
      </c>
      <c r="J55" s="67">
        <f t="shared" si="1"/>
        <v>0.25</v>
      </c>
      <c r="K55" s="67">
        <f t="shared" si="2"/>
        <v>0.75</v>
      </c>
      <c r="L55" s="170">
        <f t="shared" si="3"/>
        <v>87.5</v>
      </c>
      <c r="M55" s="29" t="s">
        <v>454</v>
      </c>
    </row>
    <row r="56" spans="2:13" ht="15" customHeight="1">
      <c r="B56" s="29" t="s">
        <v>41</v>
      </c>
      <c r="C56" s="71">
        <v>47</v>
      </c>
      <c r="D56" s="66" t="s">
        <v>467</v>
      </c>
      <c r="E56" s="66">
        <v>1</v>
      </c>
      <c r="F56" s="66">
        <v>0</v>
      </c>
      <c r="G56" s="66">
        <v>0</v>
      </c>
      <c r="H56" s="66">
        <v>1</v>
      </c>
      <c r="I56" s="67">
        <f t="shared" si="0"/>
        <v>0</v>
      </c>
      <c r="J56" s="67">
        <f t="shared" si="1"/>
        <v>0</v>
      </c>
      <c r="K56" s="67">
        <f t="shared" si="2"/>
        <v>1</v>
      </c>
      <c r="L56" s="170">
        <f t="shared" si="3"/>
        <v>100</v>
      </c>
      <c r="M56" s="29" t="s">
        <v>454</v>
      </c>
    </row>
    <row r="57" spans="2:13" ht="15" customHeight="1">
      <c r="B57" s="29" t="s">
        <v>52</v>
      </c>
      <c r="C57" s="71">
        <v>51</v>
      </c>
      <c r="D57" s="67" t="s">
        <v>468</v>
      </c>
      <c r="E57" s="66">
        <v>6</v>
      </c>
      <c r="F57" s="66">
        <v>0</v>
      </c>
      <c r="G57" s="66">
        <v>4</v>
      </c>
      <c r="H57" s="66">
        <v>2</v>
      </c>
      <c r="I57" s="67">
        <f t="shared" si="0"/>
        <v>0</v>
      </c>
      <c r="J57" s="67">
        <f t="shared" si="1"/>
        <v>0.66666666666666663</v>
      </c>
      <c r="K57" s="67">
        <f t="shared" si="2"/>
        <v>0.33333333333333331</v>
      </c>
      <c r="L57" s="171">
        <f t="shared" si="3"/>
        <v>66.666666666666657</v>
      </c>
      <c r="M57" s="29" t="s">
        <v>456</v>
      </c>
    </row>
    <row r="58" spans="2:13" ht="15" customHeight="1">
      <c r="B58" s="29" t="s">
        <v>191</v>
      </c>
      <c r="C58" s="71">
        <v>43</v>
      </c>
      <c r="D58" s="66" t="s">
        <v>469</v>
      </c>
      <c r="E58" s="66">
        <v>139</v>
      </c>
      <c r="F58" s="66">
        <v>1</v>
      </c>
      <c r="G58" s="66">
        <v>72</v>
      </c>
      <c r="H58" s="66">
        <v>66</v>
      </c>
      <c r="I58" s="67">
        <f t="shared" si="0"/>
        <v>7.1942446043165471E-3</v>
      </c>
      <c r="J58" s="67">
        <f t="shared" si="1"/>
        <v>0.51798561151079137</v>
      </c>
      <c r="K58" s="67">
        <f t="shared" si="2"/>
        <v>0.47482014388489208</v>
      </c>
      <c r="L58" s="171">
        <f t="shared" si="3"/>
        <v>73.381294964028783</v>
      </c>
      <c r="M58" s="29" t="s">
        <v>456</v>
      </c>
    </row>
    <row r="59" spans="2:13" ht="15" customHeight="1">
      <c r="B59" s="29" t="s">
        <v>379</v>
      </c>
      <c r="C59" s="71">
        <v>4</v>
      </c>
      <c r="D59" s="66" t="s">
        <v>470</v>
      </c>
      <c r="E59" s="66">
        <v>68</v>
      </c>
      <c r="F59" s="66">
        <v>3</v>
      </c>
      <c r="G59" s="66">
        <v>33</v>
      </c>
      <c r="H59" s="66">
        <v>32</v>
      </c>
      <c r="I59" s="67">
        <f t="shared" si="0"/>
        <v>4.4117647058823532E-2</v>
      </c>
      <c r="J59" s="67">
        <f t="shared" si="1"/>
        <v>0.48529411764705882</v>
      </c>
      <c r="K59" s="67">
        <f t="shared" si="2"/>
        <v>0.47058823529411764</v>
      </c>
      <c r="L59" s="171">
        <f t="shared" si="3"/>
        <v>71.32352941176471</v>
      </c>
      <c r="M59" s="29" t="s">
        <v>456</v>
      </c>
    </row>
    <row r="60" spans="2:13" ht="15" customHeight="1">
      <c r="B60" s="48" t="s">
        <v>45</v>
      </c>
      <c r="C60" s="71">
        <v>44</v>
      </c>
      <c r="D60" s="66" t="s">
        <v>471</v>
      </c>
      <c r="E60" s="66">
        <v>26</v>
      </c>
      <c r="F60" s="66">
        <v>2</v>
      </c>
      <c r="G60" s="66">
        <v>11</v>
      </c>
      <c r="H60" s="66">
        <v>13</v>
      </c>
      <c r="I60" s="67">
        <f t="shared" si="0"/>
        <v>7.6923076923076927E-2</v>
      </c>
      <c r="J60" s="67">
        <f t="shared" si="1"/>
        <v>0.42307692307692307</v>
      </c>
      <c r="K60" s="67">
        <f t="shared" si="2"/>
        <v>0.5</v>
      </c>
      <c r="L60" s="171">
        <f t="shared" si="3"/>
        <v>71.15384615384616</v>
      </c>
      <c r="M60" s="29" t="s">
        <v>456</v>
      </c>
    </row>
    <row r="61" spans="2:13" ht="15" customHeight="1">
      <c r="B61" s="29" t="s">
        <v>47</v>
      </c>
      <c r="C61" s="71">
        <v>28</v>
      </c>
      <c r="D61" s="66" t="s">
        <v>472</v>
      </c>
      <c r="E61" s="66">
        <v>90</v>
      </c>
      <c r="F61" s="66">
        <v>8</v>
      </c>
      <c r="G61" s="66">
        <v>25</v>
      </c>
      <c r="H61" s="66">
        <v>57</v>
      </c>
      <c r="I61" s="67">
        <f t="shared" si="0"/>
        <v>8.8888888888888892E-2</v>
      </c>
      <c r="J61" s="67">
        <f t="shared" si="1"/>
        <v>0.27777777777777779</v>
      </c>
      <c r="K61" s="67">
        <f t="shared" si="2"/>
        <v>0.6333333333333333</v>
      </c>
      <c r="L61" s="171">
        <f t="shared" si="3"/>
        <v>77.222222222222214</v>
      </c>
      <c r="M61" s="29" t="s">
        <v>456</v>
      </c>
    </row>
    <row r="62" spans="2:13" ht="15" customHeight="1">
      <c r="B62" s="29" t="s">
        <v>23</v>
      </c>
      <c r="C62" s="71">
        <v>11</v>
      </c>
      <c r="D62" s="66" t="s">
        <v>473</v>
      </c>
      <c r="E62" s="66">
        <v>19</v>
      </c>
      <c r="F62" s="66">
        <v>2</v>
      </c>
      <c r="G62" s="66">
        <v>5</v>
      </c>
      <c r="H62" s="66">
        <v>12</v>
      </c>
      <c r="I62" s="67">
        <f t="shared" si="0"/>
        <v>0.10526315789473684</v>
      </c>
      <c r="J62" s="67">
        <f t="shared" si="1"/>
        <v>0.26315789473684209</v>
      </c>
      <c r="K62" s="67">
        <f t="shared" si="2"/>
        <v>0.63157894736842102</v>
      </c>
      <c r="L62" s="171">
        <f t="shared" si="3"/>
        <v>76.315789473684205</v>
      </c>
      <c r="M62" s="29" t="s">
        <v>456</v>
      </c>
    </row>
    <row r="63" spans="2:13" ht="15" customHeight="1">
      <c r="B63" s="29" t="s">
        <v>24</v>
      </c>
      <c r="C63" s="71">
        <v>14</v>
      </c>
      <c r="D63" s="66" t="s">
        <v>474</v>
      </c>
      <c r="E63" s="66">
        <v>62</v>
      </c>
      <c r="F63" s="66">
        <v>7</v>
      </c>
      <c r="G63" s="66">
        <v>27</v>
      </c>
      <c r="H63" s="66">
        <v>28</v>
      </c>
      <c r="I63" s="67">
        <f t="shared" si="0"/>
        <v>0.11290322580645161</v>
      </c>
      <c r="J63" s="67">
        <f t="shared" si="1"/>
        <v>0.43548387096774194</v>
      </c>
      <c r="K63" s="67">
        <f t="shared" si="2"/>
        <v>0.45161290322580644</v>
      </c>
      <c r="L63" s="171">
        <f t="shared" si="3"/>
        <v>66.935483870967744</v>
      </c>
      <c r="M63" s="29" t="s">
        <v>456</v>
      </c>
    </row>
    <row r="64" spans="2:13" ht="15" customHeight="1">
      <c r="B64" s="48" t="s">
        <v>379</v>
      </c>
      <c r="C64" s="71">
        <v>30</v>
      </c>
      <c r="D64" s="66" t="s">
        <v>475</v>
      </c>
      <c r="E64" s="66">
        <v>7</v>
      </c>
      <c r="F64" s="66">
        <v>1</v>
      </c>
      <c r="G64" s="66">
        <v>5</v>
      </c>
      <c r="H64" s="66">
        <v>1</v>
      </c>
      <c r="I64" s="67">
        <f t="shared" si="0"/>
        <v>0.14285714285714285</v>
      </c>
      <c r="J64" s="67">
        <f t="shared" si="1"/>
        <v>0.7142857142857143</v>
      </c>
      <c r="K64" s="67">
        <f t="shared" si="2"/>
        <v>0.14285714285714285</v>
      </c>
      <c r="L64" s="169">
        <f t="shared" si="3"/>
        <v>50</v>
      </c>
      <c r="M64" s="29" t="s">
        <v>452</v>
      </c>
    </row>
    <row r="65" spans="2:13" ht="15" customHeight="1">
      <c r="B65" s="29" t="s">
        <v>37</v>
      </c>
      <c r="C65" s="71">
        <v>33</v>
      </c>
      <c r="D65" s="66" t="s">
        <v>476</v>
      </c>
      <c r="E65" s="66">
        <v>7</v>
      </c>
      <c r="F65" s="66">
        <v>1</v>
      </c>
      <c r="G65" s="66">
        <v>1</v>
      </c>
      <c r="H65" s="66">
        <v>5</v>
      </c>
      <c r="I65" s="67">
        <f t="shared" si="0"/>
        <v>0.14285714285714285</v>
      </c>
      <c r="J65" s="67">
        <f t="shared" si="1"/>
        <v>0.14285714285714285</v>
      </c>
      <c r="K65" s="67">
        <f t="shared" si="2"/>
        <v>0.7142857142857143</v>
      </c>
      <c r="L65" s="171">
        <f t="shared" si="3"/>
        <v>78.571428571428569</v>
      </c>
      <c r="M65" s="29" t="s">
        <v>456</v>
      </c>
    </row>
    <row r="66" spans="2:13" ht="15" customHeight="1">
      <c r="B66" s="29" t="s">
        <v>43</v>
      </c>
      <c r="C66" s="71">
        <v>40</v>
      </c>
      <c r="D66" s="66" t="s">
        <v>477</v>
      </c>
      <c r="E66" s="66">
        <v>674</v>
      </c>
      <c r="F66" s="66">
        <v>147</v>
      </c>
      <c r="G66" s="66">
        <v>218</v>
      </c>
      <c r="H66" s="66">
        <v>309</v>
      </c>
      <c r="I66" s="67">
        <f t="shared" si="0"/>
        <v>0.21810089020771514</v>
      </c>
      <c r="J66" s="67">
        <f t="shared" si="1"/>
        <v>0.32344213649851633</v>
      </c>
      <c r="K66" s="67">
        <f t="shared" si="2"/>
        <v>0.45845697329376855</v>
      </c>
      <c r="L66" s="171">
        <f t="shared" si="3"/>
        <v>62.017804154302667</v>
      </c>
      <c r="M66" s="29" t="s">
        <v>456</v>
      </c>
    </row>
    <row r="67" spans="2:13" ht="15" customHeight="1">
      <c r="B67" s="29" t="s">
        <v>25</v>
      </c>
      <c r="C67" s="71">
        <v>16</v>
      </c>
      <c r="D67" s="66" t="s">
        <v>25</v>
      </c>
      <c r="E67" s="66">
        <v>68</v>
      </c>
      <c r="F67" s="66">
        <v>12</v>
      </c>
      <c r="G67" s="66">
        <v>34</v>
      </c>
      <c r="H67" s="66">
        <v>22</v>
      </c>
      <c r="I67" s="67">
        <f t="shared" si="0"/>
        <v>0.17647058823529413</v>
      </c>
      <c r="J67" s="67">
        <f t="shared" si="1"/>
        <v>0.5</v>
      </c>
      <c r="K67" s="67">
        <f t="shared" si="2"/>
        <v>0.3235294117647059</v>
      </c>
      <c r="L67" s="169">
        <f t="shared" si="3"/>
        <v>57.352941176470587</v>
      </c>
      <c r="M67" s="29" t="s">
        <v>452</v>
      </c>
    </row>
    <row r="68" spans="2:13" ht="15" customHeight="1">
      <c r="B68" s="29" t="s">
        <v>41</v>
      </c>
      <c r="C68" s="71">
        <v>38</v>
      </c>
      <c r="D68" s="66" t="s">
        <v>478</v>
      </c>
      <c r="E68" s="66">
        <v>11</v>
      </c>
      <c r="F68" s="66">
        <v>8</v>
      </c>
      <c r="G68" s="66">
        <v>0</v>
      </c>
      <c r="H68" s="66">
        <v>3</v>
      </c>
      <c r="I68" s="67">
        <f t="shared" si="0"/>
        <v>0.72727272727272729</v>
      </c>
      <c r="J68" s="67">
        <f t="shared" si="1"/>
        <v>0</v>
      </c>
      <c r="K68" s="67">
        <f t="shared" si="2"/>
        <v>0.27272727272727271</v>
      </c>
      <c r="L68" s="169">
        <f t="shared" si="3"/>
        <v>27.27272727272727</v>
      </c>
      <c r="M68" s="29" t="s">
        <v>479</v>
      </c>
    </row>
    <row r="69" spans="2:13" ht="15" customHeight="1">
      <c r="B69" s="29" t="s">
        <v>26</v>
      </c>
      <c r="C69" s="71">
        <v>19</v>
      </c>
      <c r="D69" s="66" t="s">
        <v>480</v>
      </c>
      <c r="E69" s="66">
        <v>152</v>
      </c>
      <c r="F69" s="66">
        <v>31</v>
      </c>
      <c r="G69" s="66">
        <v>58</v>
      </c>
      <c r="H69" s="66">
        <v>63</v>
      </c>
      <c r="I69" s="67">
        <f t="shared" si="0"/>
        <v>0.20394736842105263</v>
      </c>
      <c r="J69" s="67">
        <f t="shared" si="1"/>
        <v>0.38157894736842107</v>
      </c>
      <c r="K69" s="67">
        <f t="shared" si="2"/>
        <v>0.41447368421052633</v>
      </c>
      <c r="L69" s="171">
        <f t="shared" si="3"/>
        <v>60.526315789473685</v>
      </c>
      <c r="M69" s="29" t="s">
        <v>456</v>
      </c>
    </row>
    <row r="70" spans="2:13" ht="15" customHeight="1">
      <c r="B70" s="48" t="s">
        <v>379</v>
      </c>
      <c r="C70" s="71">
        <v>10</v>
      </c>
      <c r="D70" s="66" t="s">
        <v>481</v>
      </c>
      <c r="E70" s="66">
        <v>16</v>
      </c>
      <c r="F70" s="66">
        <v>3</v>
      </c>
      <c r="G70" s="66">
        <v>9</v>
      </c>
      <c r="H70" s="66">
        <v>4</v>
      </c>
      <c r="I70" s="67">
        <f t="shared" si="0"/>
        <v>0.1875</v>
      </c>
      <c r="J70" s="67">
        <f t="shared" si="1"/>
        <v>0.5625</v>
      </c>
      <c r="K70" s="67">
        <f t="shared" si="2"/>
        <v>0.25</v>
      </c>
      <c r="L70" s="169">
        <f t="shared" si="3"/>
        <v>53.125</v>
      </c>
      <c r="M70" s="29" t="s">
        <v>452</v>
      </c>
    </row>
    <row r="71" spans="2:13" ht="15" customHeight="1">
      <c r="B71" s="29" t="s">
        <v>34</v>
      </c>
      <c r="C71" s="71">
        <v>31</v>
      </c>
      <c r="D71" s="66" t="s">
        <v>482</v>
      </c>
      <c r="E71" s="66">
        <v>47</v>
      </c>
      <c r="F71" s="66">
        <v>12</v>
      </c>
      <c r="G71" s="66">
        <v>13</v>
      </c>
      <c r="H71" s="66">
        <v>22</v>
      </c>
      <c r="I71" s="67">
        <f t="shared" si="0"/>
        <v>0.25531914893617019</v>
      </c>
      <c r="J71" s="67">
        <f t="shared" si="1"/>
        <v>0.27659574468085107</v>
      </c>
      <c r="K71" s="67">
        <f t="shared" si="2"/>
        <v>0.46808510638297873</v>
      </c>
      <c r="L71" s="171">
        <f t="shared" si="3"/>
        <v>60.638297872340431</v>
      </c>
      <c r="M71" s="29" t="s">
        <v>456</v>
      </c>
    </row>
    <row r="72" spans="2:13" ht="15" customHeight="1">
      <c r="B72" s="29" t="s">
        <v>379</v>
      </c>
      <c r="C72" s="71">
        <v>1</v>
      </c>
      <c r="D72" s="66" t="s">
        <v>483</v>
      </c>
      <c r="E72" s="66">
        <v>44</v>
      </c>
      <c r="F72" s="66">
        <v>12</v>
      </c>
      <c r="G72" s="66">
        <v>25</v>
      </c>
      <c r="H72" s="66">
        <v>7</v>
      </c>
      <c r="I72" s="67">
        <f t="shared" si="0"/>
        <v>0.27272727272727271</v>
      </c>
      <c r="J72" s="67">
        <f t="shared" si="1"/>
        <v>0.56818181818181823</v>
      </c>
      <c r="K72" s="67">
        <f t="shared" si="2"/>
        <v>0.15909090909090909</v>
      </c>
      <c r="L72" s="169">
        <f t="shared" si="3"/>
        <v>44.31818181818182</v>
      </c>
      <c r="M72" s="29" t="s">
        <v>452</v>
      </c>
    </row>
    <row r="73" spans="2:13" ht="15" customHeight="1">
      <c r="B73" s="29" t="s">
        <v>51</v>
      </c>
      <c r="C73" s="71">
        <v>49</v>
      </c>
      <c r="D73" s="66" t="s">
        <v>484</v>
      </c>
      <c r="E73" s="66">
        <v>3</v>
      </c>
      <c r="F73" s="66">
        <v>3</v>
      </c>
      <c r="G73" s="66">
        <v>0</v>
      </c>
      <c r="H73" s="66">
        <v>0</v>
      </c>
      <c r="I73" s="67">
        <f t="shared" si="0"/>
        <v>1</v>
      </c>
      <c r="J73" s="67">
        <f t="shared" si="1"/>
        <v>0</v>
      </c>
      <c r="K73" s="67">
        <f t="shared" si="2"/>
        <v>0</v>
      </c>
      <c r="L73" s="173">
        <f t="shared" si="3"/>
        <v>0</v>
      </c>
      <c r="M73" s="29" t="s">
        <v>485</v>
      </c>
    </row>
    <row r="74" spans="2:13" ht="15" customHeight="1">
      <c r="B74" s="29" t="s">
        <v>379</v>
      </c>
      <c r="C74" s="71">
        <v>7</v>
      </c>
      <c r="D74" s="66" t="s">
        <v>486</v>
      </c>
      <c r="E74" s="66">
        <v>47</v>
      </c>
      <c r="F74" s="66">
        <v>18</v>
      </c>
      <c r="G74" s="66">
        <v>20</v>
      </c>
      <c r="H74" s="66">
        <v>9</v>
      </c>
      <c r="I74" s="67">
        <f t="shared" si="0"/>
        <v>0.38297872340425532</v>
      </c>
      <c r="J74" s="67">
        <f t="shared" si="1"/>
        <v>0.42553191489361702</v>
      </c>
      <c r="K74" s="67">
        <f t="shared" si="2"/>
        <v>0.19148936170212766</v>
      </c>
      <c r="L74" s="172">
        <f t="shared" si="3"/>
        <v>40.425531914893618</v>
      </c>
      <c r="M74" s="29" t="s">
        <v>479</v>
      </c>
    </row>
    <row r="75" spans="2:13" ht="15" customHeight="1">
      <c r="B75" s="29" t="s">
        <v>27</v>
      </c>
      <c r="C75" s="71">
        <v>22</v>
      </c>
      <c r="D75" s="66" t="s">
        <v>487</v>
      </c>
      <c r="E75" s="66">
        <v>7</v>
      </c>
      <c r="F75" s="66">
        <v>3</v>
      </c>
      <c r="G75" s="66">
        <v>1</v>
      </c>
      <c r="H75" s="66">
        <v>3</v>
      </c>
      <c r="I75" s="67">
        <f t="shared" si="0"/>
        <v>0.42857142857142855</v>
      </c>
      <c r="J75" s="67">
        <f t="shared" si="1"/>
        <v>0.14285714285714285</v>
      </c>
      <c r="K75" s="67">
        <f t="shared" si="2"/>
        <v>0.42857142857142855</v>
      </c>
      <c r="L75" s="169">
        <f t="shared" si="3"/>
        <v>50</v>
      </c>
      <c r="M75" s="29" t="s">
        <v>452</v>
      </c>
    </row>
    <row r="76" spans="2:13" ht="15" customHeight="1">
      <c r="B76" s="29" t="s">
        <v>50</v>
      </c>
      <c r="C76" s="71">
        <v>50</v>
      </c>
      <c r="D76" s="66" t="s">
        <v>488</v>
      </c>
      <c r="E76" s="66">
        <v>7</v>
      </c>
      <c r="F76" s="66">
        <v>4</v>
      </c>
      <c r="G76" s="66">
        <v>1</v>
      </c>
      <c r="H76" s="66">
        <v>2</v>
      </c>
      <c r="I76" s="67">
        <f t="shared" si="0"/>
        <v>0.5714285714285714</v>
      </c>
      <c r="J76" s="67">
        <f t="shared" si="1"/>
        <v>0.14285714285714285</v>
      </c>
      <c r="K76" s="67">
        <f t="shared" si="2"/>
        <v>0.2857142857142857</v>
      </c>
      <c r="L76" s="169">
        <f t="shared" si="3"/>
        <v>35.714285714285708</v>
      </c>
      <c r="M76" s="29" t="s">
        <v>479</v>
      </c>
    </row>
    <row r="77" spans="2:13" ht="15" customHeight="1">
      <c r="B77" s="29" t="s">
        <v>48</v>
      </c>
      <c r="C77" s="71">
        <v>18</v>
      </c>
      <c r="D77" s="66" t="s">
        <v>489</v>
      </c>
      <c r="E77" s="66">
        <v>9</v>
      </c>
      <c r="F77" s="66">
        <v>4</v>
      </c>
      <c r="G77" s="66">
        <v>4</v>
      </c>
      <c r="H77" s="66">
        <v>1</v>
      </c>
      <c r="I77" s="67">
        <f t="shared" si="0"/>
        <v>0.44444444444444442</v>
      </c>
      <c r="J77" s="67">
        <f t="shared" si="1"/>
        <v>0.44444444444444442</v>
      </c>
      <c r="K77" s="67">
        <f t="shared" si="2"/>
        <v>0.1111111111111111</v>
      </c>
      <c r="L77" s="172">
        <f t="shared" si="3"/>
        <v>33.333333333333329</v>
      </c>
      <c r="M77" s="29" t="s">
        <v>479</v>
      </c>
    </row>
    <row r="78" spans="2:13" ht="15" customHeight="1">
      <c r="B78" s="29" t="s">
        <v>379</v>
      </c>
      <c r="C78" s="71">
        <v>15</v>
      </c>
      <c r="D78" s="66" t="s">
        <v>490</v>
      </c>
      <c r="E78" s="66">
        <v>26</v>
      </c>
      <c r="F78" s="66">
        <v>12</v>
      </c>
      <c r="G78" s="66">
        <v>11</v>
      </c>
      <c r="H78" s="66">
        <v>3</v>
      </c>
      <c r="I78" s="67">
        <f t="shared" si="0"/>
        <v>0.46153846153846156</v>
      </c>
      <c r="J78" s="67">
        <f t="shared" si="1"/>
        <v>0.42307692307692307</v>
      </c>
      <c r="K78" s="67">
        <f t="shared" si="2"/>
        <v>0.11538461538461539</v>
      </c>
      <c r="L78" s="172">
        <f t="shared" si="3"/>
        <v>32.692307692307693</v>
      </c>
      <c r="M78" s="29" t="s">
        <v>479</v>
      </c>
    </row>
    <row r="79" spans="2:13" ht="15" customHeight="1">
      <c r="B79" s="29" t="s">
        <v>18</v>
      </c>
      <c r="C79" s="71">
        <v>2</v>
      </c>
      <c r="D79" s="66" t="s">
        <v>491</v>
      </c>
      <c r="E79" s="66">
        <v>2</v>
      </c>
      <c r="F79" s="66">
        <v>1</v>
      </c>
      <c r="G79" s="66">
        <v>0</v>
      </c>
      <c r="H79" s="66">
        <v>1</v>
      </c>
      <c r="I79" s="67">
        <f t="shared" si="0"/>
        <v>0.5</v>
      </c>
      <c r="J79" s="67">
        <f t="shared" si="1"/>
        <v>0</v>
      </c>
      <c r="K79" s="67">
        <f t="shared" si="2"/>
        <v>0.5</v>
      </c>
      <c r="L79" s="169">
        <f t="shared" si="3"/>
        <v>50</v>
      </c>
      <c r="M79" s="29" t="s">
        <v>452</v>
      </c>
    </row>
    <row r="80" spans="2:13" ht="15" customHeight="1">
      <c r="B80" s="48" t="s">
        <v>18</v>
      </c>
      <c r="C80" s="71">
        <v>20</v>
      </c>
      <c r="D80" s="66" t="s">
        <v>492</v>
      </c>
      <c r="E80" s="66">
        <v>4</v>
      </c>
      <c r="F80" s="66">
        <v>2</v>
      </c>
      <c r="G80" s="66">
        <v>2</v>
      </c>
      <c r="H80" s="66">
        <v>0</v>
      </c>
      <c r="I80" s="67">
        <f t="shared" si="0"/>
        <v>0.5</v>
      </c>
      <c r="J80" s="67">
        <f t="shared" si="1"/>
        <v>0.5</v>
      </c>
      <c r="K80" s="67">
        <f t="shared" si="2"/>
        <v>0</v>
      </c>
      <c r="L80" s="172">
        <f t="shared" si="3"/>
        <v>25</v>
      </c>
      <c r="M80" s="29" t="s">
        <v>479</v>
      </c>
    </row>
    <row r="81" spans="2:13" ht="15" customHeight="1">
      <c r="B81" s="29" t="s">
        <v>30</v>
      </c>
      <c r="C81" s="71">
        <v>26</v>
      </c>
      <c r="D81" s="66" t="s">
        <v>493</v>
      </c>
      <c r="E81" s="66">
        <v>2</v>
      </c>
      <c r="F81" s="66">
        <v>2</v>
      </c>
      <c r="G81" s="66">
        <v>0</v>
      </c>
      <c r="H81" s="66">
        <v>0</v>
      </c>
      <c r="I81" s="67">
        <f t="shared" si="0"/>
        <v>1</v>
      </c>
      <c r="J81" s="67">
        <f t="shared" si="1"/>
        <v>0</v>
      </c>
      <c r="K81" s="67">
        <f t="shared" si="2"/>
        <v>0</v>
      </c>
      <c r="L81" s="173">
        <f t="shared" si="3"/>
        <v>0</v>
      </c>
      <c r="M81" s="29" t="s">
        <v>485</v>
      </c>
    </row>
    <row r="82" spans="2:13" ht="15" customHeight="1">
      <c r="B82" s="48" t="s">
        <v>379</v>
      </c>
      <c r="C82" s="71">
        <v>46</v>
      </c>
      <c r="D82" s="66" t="s">
        <v>494</v>
      </c>
      <c r="E82" s="66">
        <v>3</v>
      </c>
      <c r="F82" s="66">
        <v>2</v>
      </c>
      <c r="G82" s="66">
        <v>1</v>
      </c>
      <c r="H82" s="66">
        <v>0</v>
      </c>
      <c r="I82" s="67">
        <f t="shared" si="0"/>
        <v>0.66666666666666663</v>
      </c>
      <c r="J82" s="67">
        <f t="shared" si="1"/>
        <v>0.33333333333333331</v>
      </c>
      <c r="K82" s="67">
        <f t="shared" si="2"/>
        <v>0</v>
      </c>
      <c r="L82" s="173">
        <f t="shared" si="3"/>
        <v>16.666666666666664</v>
      </c>
      <c r="M82" s="29" t="s">
        <v>485</v>
      </c>
    </row>
    <row r="83" spans="2:13" ht="15" customHeight="1">
      <c r="B83" s="29" t="s">
        <v>21</v>
      </c>
      <c r="C83" s="71">
        <v>9</v>
      </c>
      <c r="D83" s="66" t="s">
        <v>495</v>
      </c>
      <c r="E83" s="66">
        <v>2</v>
      </c>
      <c r="F83" s="66">
        <v>2</v>
      </c>
      <c r="G83" s="66">
        <v>0</v>
      </c>
      <c r="H83" s="66">
        <v>0</v>
      </c>
      <c r="I83" s="67">
        <f t="shared" si="0"/>
        <v>1</v>
      </c>
      <c r="J83" s="67">
        <f t="shared" si="1"/>
        <v>0</v>
      </c>
      <c r="K83" s="67">
        <f t="shared" si="2"/>
        <v>0</v>
      </c>
      <c r="L83" s="173">
        <f t="shared" si="3"/>
        <v>0</v>
      </c>
      <c r="M83" s="29" t="s">
        <v>485</v>
      </c>
    </row>
    <row r="84" spans="2:13" ht="15" customHeight="1">
      <c r="B84" s="29" t="s">
        <v>49</v>
      </c>
      <c r="C84" s="71">
        <v>48</v>
      </c>
      <c r="D84" s="66" t="s">
        <v>496</v>
      </c>
      <c r="E84" s="66">
        <v>2</v>
      </c>
      <c r="F84" s="66">
        <v>2</v>
      </c>
      <c r="G84" s="66">
        <v>0</v>
      </c>
      <c r="H84" s="66">
        <v>0</v>
      </c>
      <c r="I84" s="67">
        <f t="shared" si="0"/>
        <v>1</v>
      </c>
      <c r="J84" s="67">
        <f t="shared" si="1"/>
        <v>0</v>
      </c>
      <c r="K84" s="67">
        <f t="shared" si="2"/>
        <v>0</v>
      </c>
      <c r="L84" s="173">
        <f t="shared" si="3"/>
        <v>0</v>
      </c>
      <c r="M84" s="29" t="s">
        <v>485</v>
      </c>
    </row>
    <row r="85" spans="2:13" ht="15" customHeight="1">
      <c r="B85" s="186" t="s">
        <v>497</v>
      </c>
      <c r="C85" s="187">
        <v>27</v>
      </c>
      <c r="D85" s="70" t="s">
        <v>498</v>
      </c>
      <c r="E85" s="70">
        <v>5</v>
      </c>
      <c r="F85" s="70">
        <v>2</v>
      </c>
      <c r="G85" s="70">
        <v>0</v>
      </c>
      <c r="H85" s="70">
        <v>3</v>
      </c>
      <c r="I85" s="69">
        <f>F85/E85</f>
        <v>0.4</v>
      </c>
      <c r="J85" s="69">
        <f>G85/E85</f>
        <v>0</v>
      </c>
      <c r="K85" s="69">
        <f>H85/E85</f>
        <v>0.6</v>
      </c>
      <c r="L85" s="188">
        <f t="shared" si="3"/>
        <v>60</v>
      </c>
      <c r="M85" s="186" t="s">
        <v>452</v>
      </c>
    </row>
    <row r="86" spans="2:13" ht="15" customHeight="1">
      <c r="B86" s="192"/>
      <c r="C86" s="193"/>
      <c r="D86" s="191"/>
      <c r="E86" s="191"/>
      <c r="F86" s="191"/>
      <c r="G86" s="191"/>
      <c r="H86" s="191"/>
      <c r="I86" s="194"/>
      <c r="J86" s="194"/>
      <c r="K86" s="194"/>
      <c r="L86" s="195"/>
      <c r="M86" s="192"/>
    </row>
    <row r="87" spans="2:13" ht="15" customHeight="1">
      <c r="B87" s="196" t="s">
        <v>499</v>
      </c>
      <c r="C87" s="189"/>
      <c r="D87" s="163"/>
      <c r="E87" s="163"/>
      <c r="F87" s="163"/>
      <c r="G87" s="163"/>
      <c r="H87" s="163"/>
      <c r="I87" s="61"/>
      <c r="J87" s="61"/>
      <c r="K87" s="61"/>
      <c r="L87" s="190"/>
      <c r="M87" s="25"/>
    </row>
    <row r="88" spans="2:13" ht="15" customHeight="1">
      <c r="B88" s="25"/>
      <c r="C88" s="189"/>
      <c r="D88" s="163"/>
      <c r="E88" s="163"/>
      <c r="F88" s="163"/>
      <c r="G88" s="163"/>
      <c r="H88" s="163"/>
      <c r="I88" s="61"/>
      <c r="J88" s="61"/>
      <c r="K88" s="61"/>
      <c r="L88" s="190"/>
      <c r="M88" s="25"/>
    </row>
    <row r="89" spans="2:13" ht="26.1">
      <c r="B89" s="297" t="s">
        <v>439</v>
      </c>
      <c r="C89" s="297"/>
      <c r="D89" s="197" t="s">
        <v>500</v>
      </c>
      <c r="E89" s="133" t="s">
        <v>501</v>
      </c>
      <c r="F89" s="133" t="s">
        <v>443</v>
      </c>
      <c r="G89" s="133" t="s">
        <v>444</v>
      </c>
      <c r="H89" s="133" t="s">
        <v>445</v>
      </c>
      <c r="I89" s="133" t="s">
        <v>446</v>
      </c>
      <c r="J89" s="133" t="s">
        <v>447</v>
      </c>
      <c r="K89" s="133" t="s">
        <v>448</v>
      </c>
      <c r="L89" s="132" t="s">
        <v>449</v>
      </c>
      <c r="M89" s="132" t="s">
        <v>450</v>
      </c>
    </row>
    <row r="90" spans="2:13" ht="15" customHeight="1">
      <c r="B90" s="298" t="s">
        <v>20</v>
      </c>
      <c r="C90" s="299"/>
      <c r="D90" s="67" t="s">
        <v>20</v>
      </c>
      <c r="E90" s="67">
        <v>18675.73</v>
      </c>
      <c r="F90" s="67">
        <v>1219.4100000000001</v>
      </c>
      <c r="G90" s="67">
        <v>8630.76</v>
      </c>
      <c r="H90" s="67">
        <v>8825.5400000000009</v>
      </c>
      <c r="I90" s="67">
        <f>+F90/E90</f>
        <v>6.5293833226331727E-2</v>
      </c>
      <c r="J90" s="67">
        <f>+G90/E90</f>
        <v>0.46213775847048549</v>
      </c>
      <c r="K90" s="67">
        <f>+H90/E90</f>
        <v>0.47256733739457579</v>
      </c>
      <c r="L90" s="171">
        <f>+(K90*1+J90*0.5+I90*0)*100</f>
        <v>70.363621662981856</v>
      </c>
      <c r="M90" s="29" t="s">
        <v>456</v>
      </c>
    </row>
    <row r="91" spans="2:13" ht="15" customHeight="1">
      <c r="B91" s="300" t="s">
        <v>21</v>
      </c>
      <c r="C91" s="301"/>
      <c r="D91" s="67" t="s">
        <v>495</v>
      </c>
      <c r="E91" s="67">
        <v>648.37</v>
      </c>
      <c r="F91" s="67">
        <v>394.23</v>
      </c>
      <c r="G91" s="67">
        <v>0</v>
      </c>
      <c r="H91" s="67">
        <v>254.14</v>
      </c>
      <c r="I91" s="67">
        <f>+F91/E91</f>
        <v>0.60803245060690658</v>
      </c>
      <c r="J91" s="67">
        <f>+G91/E91</f>
        <v>0</v>
      </c>
      <c r="K91" s="67">
        <f>+H91/E91</f>
        <v>0.39196754939309342</v>
      </c>
      <c r="L91" s="172">
        <f>+(K91*1+J91*0.5+I91*0)*100</f>
        <v>39.196754939309344</v>
      </c>
      <c r="M91" s="29" t="s">
        <v>479</v>
      </c>
    </row>
    <row r="92" spans="2:13" ht="15" customHeight="1">
      <c r="B92" s="300" t="s">
        <v>502</v>
      </c>
      <c r="C92" s="301"/>
      <c r="D92" s="67" t="s">
        <v>502</v>
      </c>
      <c r="E92" s="67">
        <v>565.29</v>
      </c>
      <c r="F92" s="67">
        <v>10.18</v>
      </c>
      <c r="G92" s="67">
        <v>541.32000000000005</v>
      </c>
      <c r="H92" s="67">
        <v>13.79</v>
      </c>
      <c r="I92" s="67">
        <f>+F92/E92</f>
        <v>1.8008455836827118E-2</v>
      </c>
      <c r="J92" s="67">
        <f>+G92/E92</f>
        <v>0.95759698561800155</v>
      </c>
      <c r="K92" s="67">
        <f>+H92/E92</f>
        <v>2.4394558545171505E-2</v>
      </c>
      <c r="L92" s="169">
        <f>+(K92*1+J92*0.5+I92*0)*100</f>
        <v>50.319305135417224</v>
      </c>
      <c r="M92" s="29" t="s">
        <v>452</v>
      </c>
    </row>
    <row r="93" spans="2:13" ht="15" customHeight="1">
      <c r="B93" s="300" t="s">
        <v>503</v>
      </c>
      <c r="C93" s="301"/>
      <c r="D93" s="88" t="s">
        <v>503</v>
      </c>
      <c r="E93" s="69">
        <v>188.74</v>
      </c>
      <c r="F93" s="69">
        <v>0</v>
      </c>
      <c r="G93" s="69">
        <v>0</v>
      </c>
      <c r="H93" s="69">
        <v>188.74</v>
      </c>
      <c r="I93" s="69">
        <f>+F93/E93</f>
        <v>0</v>
      </c>
      <c r="J93" s="69">
        <f>+G93/E93</f>
        <v>0</v>
      </c>
      <c r="K93" s="69">
        <f>+H93/E93</f>
        <v>1</v>
      </c>
      <c r="L93" s="174">
        <f>+(K93*1+J93*0.5+I93*0)*100</f>
        <v>100</v>
      </c>
      <c r="M93" s="68" t="s">
        <v>454</v>
      </c>
    </row>
    <row r="94" spans="2:13" ht="15" customHeight="1">
      <c r="B94" s="302" t="s">
        <v>53</v>
      </c>
      <c r="C94" s="303"/>
      <c r="D94" s="88" t="s">
        <v>53</v>
      </c>
      <c r="E94" s="69">
        <v>0</v>
      </c>
      <c r="F94" s="69">
        <v>0</v>
      </c>
      <c r="G94" s="69">
        <v>0</v>
      </c>
      <c r="H94" s="69">
        <v>0</v>
      </c>
      <c r="I94" s="69">
        <v>0</v>
      </c>
      <c r="J94" s="69">
        <v>0</v>
      </c>
      <c r="K94" s="69">
        <v>0</v>
      </c>
      <c r="L94" s="175">
        <f>+(K94*1+J94*0.5+I94*0)*100</f>
        <v>0</v>
      </c>
      <c r="M94" s="68" t="s">
        <v>485</v>
      </c>
    </row>
    <row r="95" spans="2:13" ht="15" customHeight="1">
      <c r="B95" s="198"/>
      <c r="C95" s="194"/>
      <c r="D95" s="194"/>
      <c r="E95" s="194"/>
      <c r="F95" s="194"/>
      <c r="G95" s="194"/>
      <c r="H95" s="194"/>
      <c r="I95" s="194"/>
      <c r="J95" s="194"/>
      <c r="K95" s="194"/>
      <c r="L95" s="195"/>
      <c r="M95" s="198"/>
    </row>
    <row r="96" spans="2:13" ht="15" customHeight="1">
      <c r="B96" s="196" t="s">
        <v>504</v>
      </c>
      <c r="D96" s="61"/>
      <c r="E96" s="61"/>
      <c r="F96" s="61"/>
      <c r="G96" s="61"/>
      <c r="H96" s="61"/>
      <c r="I96" s="61"/>
      <c r="J96" s="61"/>
      <c r="K96" s="61"/>
      <c r="L96" s="190"/>
    </row>
    <row r="97" spans="2:13" ht="15" customHeight="1">
      <c r="B97" s="196"/>
      <c r="D97" s="61"/>
      <c r="E97" s="61"/>
      <c r="F97" s="61"/>
      <c r="G97" s="61"/>
      <c r="H97" s="61"/>
      <c r="I97" s="61"/>
      <c r="J97" s="61"/>
      <c r="K97" s="61"/>
      <c r="L97" s="190"/>
    </row>
    <row r="98" spans="2:13" ht="26.1">
      <c r="B98" s="297" t="s">
        <v>439</v>
      </c>
      <c r="C98" s="297"/>
      <c r="D98" s="197" t="s">
        <v>505</v>
      </c>
      <c r="E98" s="133" t="s">
        <v>501</v>
      </c>
      <c r="F98" s="133" t="s">
        <v>443</v>
      </c>
      <c r="G98" s="133" t="s">
        <v>444</v>
      </c>
      <c r="H98" s="133" t="s">
        <v>445</v>
      </c>
      <c r="I98" s="133" t="s">
        <v>446</v>
      </c>
      <c r="J98" s="133" t="s">
        <v>447</v>
      </c>
      <c r="K98" s="133" t="s">
        <v>448</v>
      </c>
      <c r="L98" s="132" t="s">
        <v>449</v>
      </c>
      <c r="M98" s="132" t="s">
        <v>450</v>
      </c>
    </row>
    <row r="99" spans="2:13" ht="15" customHeight="1">
      <c r="B99" s="300" t="s">
        <v>46</v>
      </c>
      <c r="C99" s="301"/>
      <c r="D99" s="48" t="s">
        <v>46</v>
      </c>
      <c r="E99" s="48">
        <v>8848.2199999999993</v>
      </c>
      <c r="F99" s="48">
        <v>5980.35</v>
      </c>
      <c r="G99" s="48">
        <v>239.44</v>
      </c>
      <c r="H99" s="48">
        <v>2628.43</v>
      </c>
      <c r="I99" s="67">
        <f>F99/E99</f>
        <v>0.67588170276055537</v>
      </c>
      <c r="J99" s="67">
        <f>G99/E99</f>
        <v>2.7060809970818993E-2</v>
      </c>
      <c r="K99" s="67">
        <f>H99/E99</f>
        <v>0.2970574872686258</v>
      </c>
      <c r="L99" s="172">
        <f>+(K99*1+J99*0.5+I99*0)*100</f>
        <v>31.058789225403526</v>
      </c>
      <c r="M99" s="48" t="s">
        <v>479</v>
      </c>
    </row>
    <row r="100" spans="2:13" ht="15" customHeight="1">
      <c r="B100" s="300" t="s">
        <v>35</v>
      </c>
      <c r="C100" s="301"/>
      <c r="D100" s="48" t="s">
        <v>35</v>
      </c>
      <c r="E100" s="48">
        <v>6344.07</v>
      </c>
      <c r="F100" s="48">
        <v>3086.39</v>
      </c>
      <c r="G100" s="48">
        <v>1051.77</v>
      </c>
      <c r="H100" s="48">
        <v>2205.91</v>
      </c>
      <c r="I100" s="67">
        <f>F100/E100</f>
        <v>0.4864999913304866</v>
      </c>
      <c r="J100" s="67">
        <f>G100/E100</f>
        <v>0.16578789326095078</v>
      </c>
      <c r="K100" s="67">
        <f>H100/E100</f>
        <v>0.34771211540856262</v>
      </c>
      <c r="L100" s="169">
        <f>+(K100*1+J100*0.5+I100*0)*100</f>
        <v>43.060606203903802</v>
      </c>
      <c r="M100" s="48" t="s">
        <v>452</v>
      </c>
    </row>
    <row r="102" spans="2:13" ht="15" customHeight="1">
      <c r="B102" s="256" t="s">
        <v>506</v>
      </c>
    </row>
  </sheetData>
  <autoFilter ref="A1:G38" xr:uid="{26EF549F-4D84-405E-99E4-080E2560E1F0}">
    <filterColumn colId="0" showButton="0"/>
    <filterColumn colId="1" showButton="0"/>
    <filterColumn colId="2" showButton="0"/>
    <filterColumn colId="3" showButton="0"/>
    <filterColumn colId="4" showButton="0"/>
    <filterColumn colId="5" showButton="0"/>
  </autoFilter>
  <mergeCells count="10">
    <mergeCell ref="A1:G1"/>
    <mergeCell ref="B89:C89"/>
    <mergeCell ref="B90:C90"/>
    <mergeCell ref="B91:C91"/>
    <mergeCell ref="B100:C100"/>
    <mergeCell ref="B98:C98"/>
    <mergeCell ref="B92:C92"/>
    <mergeCell ref="B93:C93"/>
    <mergeCell ref="B94:C94"/>
    <mergeCell ref="B99:C99"/>
  </mergeCells>
  <pageMargins left="0.7" right="0.7" top="0.75" bottom="0.75" header="0.3" footer="0.3"/>
  <headerFooter>
    <oddFooter>&amp;L_x000D_&amp;1#&amp;"Aptos"&amp;10&amp;K000000 Informacion publica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CA28C-39ED-4D92-B27D-3D05D4B2E4BD}">
  <dimension ref="A1:E86"/>
  <sheetViews>
    <sheetView topLeftCell="A15" zoomScale="58" workbookViewId="0">
      <selection activeCell="H34" sqref="H34"/>
    </sheetView>
  </sheetViews>
  <sheetFormatPr defaultColWidth="11.42578125" defaultRowHeight="14.45"/>
  <cols>
    <col min="2" max="2" width="29.42578125" bestFit="1" customWidth="1"/>
    <col min="3" max="3" width="29.85546875" customWidth="1"/>
    <col min="4" max="4" width="12" customWidth="1"/>
  </cols>
  <sheetData>
    <row r="1" spans="1:4">
      <c r="A1" s="304" t="s">
        <v>507</v>
      </c>
      <c r="B1" s="304"/>
      <c r="C1" s="304"/>
      <c r="D1" s="304"/>
    </row>
    <row r="2" spans="1:4" ht="36">
      <c r="A2" s="249" t="s">
        <v>357</v>
      </c>
      <c r="B2" s="250" t="s">
        <v>363</v>
      </c>
      <c r="C2" s="248" t="s">
        <v>508</v>
      </c>
      <c r="D2" s="1" t="s">
        <v>509</v>
      </c>
    </row>
    <row r="3" spans="1:4">
      <c r="A3" s="144">
        <v>1</v>
      </c>
      <c r="B3" s="247" t="s">
        <v>18</v>
      </c>
      <c r="C3" s="8">
        <v>-0.7719364742842354</v>
      </c>
      <c r="D3" s="6">
        <f>+IF(C3&gt;$D$42,100,IF(AND(C3&gt;$D$43,C3&lt;=$D$42),80,IF(AND(C3&gt;$D$44,C3&lt;=$D$43),60,IF(AND(C3&gt;$D$45,C3&lt;=$D$44),40,20))))</f>
        <v>60</v>
      </c>
    </row>
    <row r="4" spans="1:4">
      <c r="A4" s="44">
        <v>2</v>
      </c>
      <c r="B4" s="73" t="s">
        <v>20</v>
      </c>
      <c r="C4" s="8">
        <v>-0.33291600149833767</v>
      </c>
      <c r="D4" s="6">
        <f>+IF(C4&gt;$D$42,100,IF(AND(C4&gt;$D$43,C4&lt;=$D$42),80,IF(AND(C4&gt;$D$44,C4&lt;=$D$43),60,IF(AND(C4&gt;$D$45,C4&lt;=$D$44),40,20))))</f>
        <v>80</v>
      </c>
    </row>
    <row r="5" spans="1:4">
      <c r="A5" s="44">
        <v>3</v>
      </c>
      <c r="B5" s="73" t="s">
        <v>21</v>
      </c>
      <c r="C5" s="8">
        <v>-0.9912869803654667</v>
      </c>
      <c r="D5" s="6">
        <f>+IF(C5&gt;$D$42,100,IF(AND(C5&gt;$D$43,C5&lt;=$D$42),80,IF(AND(C5&gt;$D$44,C5&lt;=$D$43),60,IF(AND(C5&gt;$D$45,C5&lt;=$D$44),40,20))))</f>
        <v>60</v>
      </c>
    </row>
    <row r="6" spans="1:4">
      <c r="A6" s="44">
        <v>4</v>
      </c>
      <c r="B6" s="73" t="s">
        <v>23</v>
      </c>
      <c r="C6" s="8">
        <v>-1.34</v>
      </c>
      <c r="D6" s="6">
        <f>+IF(C6&gt;$D$42,100,IF(AND(C6&gt;$D$43,C6&lt;=$D$42),80,IF(AND(C6&gt;$D$44,C6&lt;=$D$43),60,IF(AND(C6&gt;$D$45,C6&lt;=$D$44),40,20))))</f>
        <v>40</v>
      </c>
    </row>
    <row r="7" spans="1:4">
      <c r="A7" s="44">
        <v>5</v>
      </c>
      <c r="B7" s="73" t="s">
        <v>24</v>
      </c>
      <c r="C7" s="8">
        <v>-0.97240722077428576</v>
      </c>
      <c r="D7" s="6">
        <f>+IF(C7&gt;$D$42,100,IF(AND(C7&gt;$D$43,C7&lt;=$D$42),80,IF(AND(C7&gt;$D$44,C7&lt;=$D$43),60,IF(AND(C7&gt;$D$45,C7&lt;=$D$44),40,20))))</f>
        <v>60</v>
      </c>
    </row>
    <row r="8" spans="1:4">
      <c r="A8" s="44">
        <v>6</v>
      </c>
      <c r="B8" s="73" t="s">
        <v>25</v>
      </c>
      <c r="C8" s="8">
        <v>-2.1160847723306508</v>
      </c>
      <c r="D8" s="6">
        <f>+IF(C8&gt;$D$42,100,IF(AND(C8&gt;$D$43,C8&lt;=$D$42),80,IF(AND(C8&gt;$D$44,C8&lt;=$D$43),60,IF(AND(C8&gt;$D$45,C8&lt;=$D$44),40,20))))</f>
        <v>20</v>
      </c>
    </row>
    <row r="9" spans="1:4">
      <c r="A9" s="44">
        <v>7</v>
      </c>
      <c r="B9" s="73" t="s">
        <v>26</v>
      </c>
      <c r="C9" s="8">
        <v>-1.8821281133900594</v>
      </c>
      <c r="D9" s="6">
        <f>+IF(C9&gt;$D$42,100,IF(AND(C9&gt;$D$43,C9&lt;=$D$42),80,IF(AND(C9&gt;$D$44,C9&lt;=$D$43),60,IF(AND(C9&gt;$D$45,C9&lt;=$D$44),40,20))))</f>
        <v>20</v>
      </c>
    </row>
    <row r="10" spans="1:4">
      <c r="A10" s="44">
        <v>8</v>
      </c>
      <c r="B10" s="73" t="s">
        <v>27</v>
      </c>
      <c r="C10" s="8">
        <v>-3.2999999999999994</v>
      </c>
      <c r="D10" s="6">
        <f>+IF(C10&gt;$D$42,100,IF(AND(C10&gt;$D$43,C10&lt;=$D$42),80,IF(AND(C10&gt;$D$44,C10&lt;=$D$43),60,IF(AND(C10&gt;$D$45,C10&lt;=$D$44),40,20))))</f>
        <v>20</v>
      </c>
    </row>
    <row r="11" spans="1:4">
      <c r="A11" s="44">
        <v>9</v>
      </c>
      <c r="B11" s="73" t="s">
        <v>378</v>
      </c>
      <c r="C11" s="8">
        <v>0.22999999999999998</v>
      </c>
      <c r="D11" s="6">
        <f>+IF(C11&gt;$D$42,100,IF(AND(C11&gt;$D$43,C11&lt;=$D$42),80,IF(AND(C11&gt;$D$44,C11&lt;=$D$43),60,IF(AND(C11&gt;$D$45,C11&lt;=$D$44),40,20))))</f>
        <v>100</v>
      </c>
    </row>
    <row r="12" spans="1:4">
      <c r="A12" s="44">
        <v>10</v>
      </c>
      <c r="B12" s="73" t="s">
        <v>29</v>
      </c>
      <c r="C12" s="8">
        <v>-1.6204063196022831</v>
      </c>
      <c r="D12" s="6">
        <f>+IF(C12&gt;$D$42,100,IF(AND(C12&gt;$D$43,C12&lt;=$D$42),80,IF(AND(C12&gt;$D$44,C12&lt;=$D$43),60,IF(AND(C12&gt;$D$45,C12&lt;=$D$44),40,20))))</f>
        <v>40</v>
      </c>
    </row>
    <row r="13" spans="1:4">
      <c r="A13" s="44">
        <v>11</v>
      </c>
      <c r="B13" s="73" t="s">
        <v>30</v>
      </c>
      <c r="C13" s="8">
        <v>-1.6747133092501105</v>
      </c>
      <c r="D13" s="6">
        <f>+IF(C13&gt;$D$42,100,IF(AND(C13&gt;$D$43,C13&lt;=$D$42),80,IF(AND(C13&gt;$D$44,C13&lt;=$D$43),60,IF(AND(C13&gt;$D$45,C13&lt;=$D$44),40,20))))</f>
        <v>20</v>
      </c>
    </row>
    <row r="14" spans="1:4">
      <c r="A14" s="44">
        <v>12</v>
      </c>
      <c r="B14" s="73" t="s">
        <v>32</v>
      </c>
      <c r="C14" s="8">
        <v>-0.27346019358236862</v>
      </c>
      <c r="D14" s="6">
        <f>+IF(C14&gt;$D$42,100,IF(AND(C14&gt;$D$43,C14&lt;=$D$42),80,IF(AND(C14&gt;$D$44,C14&lt;=$D$43),60,IF(AND(C14&gt;$D$45,C14&lt;=$D$44),40,20))))</f>
        <v>80</v>
      </c>
    </row>
    <row r="15" spans="1:4">
      <c r="A15" s="44">
        <v>13</v>
      </c>
      <c r="B15" s="73" t="s">
        <v>31</v>
      </c>
      <c r="C15" s="8">
        <v>-1.39</v>
      </c>
      <c r="D15" s="6">
        <f>+IF(C15&gt;$D$42,100,IF(AND(C15&gt;$D$43,C15&lt;=$D$42),80,IF(AND(C15&gt;$D$44,C15&lt;=$D$43),60,IF(AND(C15&gt;$D$45,C15&lt;=$D$44),40,20))))</f>
        <v>40</v>
      </c>
    </row>
    <row r="16" spans="1:4">
      <c r="A16" s="44">
        <v>14</v>
      </c>
      <c r="B16" s="73" t="s">
        <v>33</v>
      </c>
      <c r="C16" s="8">
        <v>-0.75</v>
      </c>
      <c r="D16" s="6">
        <f>+IF(C16&gt;$D$42,100,IF(AND(C16&gt;$D$43,C16&lt;=$D$42),80,IF(AND(C16&gt;$D$44,C16&lt;=$D$43),60,IF(AND(C16&gt;$D$45,C16&lt;=$D$44),40,20))))</f>
        <v>60</v>
      </c>
    </row>
    <row r="17" spans="1:4">
      <c r="A17" s="44">
        <v>15</v>
      </c>
      <c r="B17" s="73" t="s">
        <v>34</v>
      </c>
      <c r="C17" s="8">
        <v>-1.0825284268473196</v>
      </c>
      <c r="D17" s="6">
        <f>+IF(C17&gt;$D$42,100,IF(AND(C17&gt;$D$43,C17&lt;=$D$42),80,IF(AND(C17&gt;$D$44,C17&lt;=$D$43),60,IF(AND(C17&gt;$D$45,C17&lt;=$D$44),40,20))))</f>
        <v>40</v>
      </c>
    </row>
    <row r="18" spans="1:4">
      <c r="A18" s="44">
        <v>16</v>
      </c>
      <c r="B18" s="73" t="s">
        <v>35</v>
      </c>
      <c r="C18" s="8">
        <v>-0.69</v>
      </c>
      <c r="D18" s="6">
        <f>+IF(C18&gt;$D$42,100,IF(AND(C18&gt;$D$43,C18&lt;=$D$42),80,IF(AND(C18&gt;$D$44,C18&lt;=$D$43),60,IF(AND(C18&gt;$D$45,C18&lt;=$D$44),40,20))))</f>
        <v>60</v>
      </c>
    </row>
    <row r="19" spans="1:4">
      <c r="A19" s="44">
        <v>17</v>
      </c>
      <c r="B19" s="73" t="s">
        <v>36</v>
      </c>
      <c r="C19" s="8">
        <v>-1.6358309525870789</v>
      </c>
      <c r="D19" s="6">
        <f>+IF(C19&gt;$D$42,100,IF(AND(C19&gt;$D$43,C19&lt;=$D$42),80,IF(AND(C19&gt;$D$44,C19&lt;=$D$43),60,IF(AND(C19&gt;$D$45,C19&lt;=$D$44),40,20))))</f>
        <v>40</v>
      </c>
    </row>
    <row r="20" spans="1:4">
      <c r="A20" s="44">
        <v>18</v>
      </c>
      <c r="B20" s="73" t="s">
        <v>37</v>
      </c>
      <c r="C20" s="8">
        <v>0.21</v>
      </c>
      <c r="D20" s="6">
        <f>+IF(C20&gt;$D$42,100,IF(AND(C20&gt;$D$43,C20&lt;=$D$42),80,IF(AND(C20&gt;$D$44,C20&lt;=$D$43),60,IF(AND(C20&gt;$D$45,C20&lt;=$D$44),40,20))))</f>
        <v>100</v>
      </c>
    </row>
    <row r="21" spans="1:4">
      <c r="A21" s="44">
        <v>19</v>
      </c>
      <c r="B21" s="73" t="s">
        <v>379</v>
      </c>
      <c r="C21" s="8">
        <v>-0.26461495895867709</v>
      </c>
      <c r="D21" s="6">
        <f>+IF(C21&gt;$D$42,100,IF(AND(C21&gt;$D$43,C21&lt;=$D$42),80,IF(AND(C21&gt;$D$44,C21&lt;=$D$43),60,IF(AND(C21&gt;$D$45,C21&lt;=$D$44),40,20))))</f>
        <v>80</v>
      </c>
    </row>
    <row r="22" spans="1:4">
      <c r="A22" s="44">
        <v>20</v>
      </c>
      <c r="B22" s="73" t="s">
        <v>191</v>
      </c>
      <c r="C22" s="8">
        <v>0.18</v>
      </c>
      <c r="D22" s="6">
        <f>+IF(C22&gt;$D$42,100,IF(AND(C22&gt;$D$43,C22&lt;=$D$42),80,IF(AND(C22&gt;$D$44,C22&lt;=$D$43),60,IF(AND(C22&gt;$D$45,C22&lt;=$D$44),40,20))))</f>
        <v>100</v>
      </c>
    </row>
    <row r="23" spans="1:4">
      <c r="A23" s="44">
        <v>21</v>
      </c>
      <c r="B23" s="73" t="s">
        <v>40</v>
      </c>
      <c r="C23" s="8">
        <v>-0.64846687554677862</v>
      </c>
      <c r="D23" s="6">
        <f>+IF(C23&gt;$D$42,100,IF(AND(C23&gt;$D$43,C23&lt;=$D$42),80,IF(AND(C23&gt;$D$44,C23&lt;=$D$43),60,IF(AND(C23&gt;$D$45,C23&lt;=$D$44),40,20))))</f>
        <v>80</v>
      </c>
    </row>
    <row r="24" spans="1:4">
      <c r="A24" s="44">
        <v>22</v>
      </c>
      <c r="B24" s="73" t="s">
        <v>41</v>
      </c>
      <c r="C24" s="8">
        <v>-2.0275133045744522</v>
      </c>
      <c r="D24" s="6">
        <f>+IF(C24&gt;$D$42,100,IF(AND(C24&gt;$D$43,C24&lt;=$D$42),80,IF(AND(C24&gt;$D$44,C24&lt;=$D$43),60,IF(AND(C24&gt;$D$45,C24&lt;=$D$44),40,20))))</f>
        <v>20</v>
      </c>
    </row>
    <row r="25" spans="1:4">
      <c r="A25" s="44">
        <v>23</v>
      </c>
      <c r="B25" s="73" t="s">
        <v>42</v>
      </c>
      <c r="C25" s="8">
        <v>-1.0073720045379479E-2</v>
      </c>
      <c r="D25" s="6">
        <f>+IF(C25&gt;$D$42,100,IF(AND(C25&gt;$D$43,C25&lt;=$D$42),80,IF(AND(C25&gt;$D$44,C25&lt;=$D$43),60,IF(AND(C25&gt;$D$45,C25&lt;=$D$44),40,20))))</f>
        <v>100</v>
      </c>
    </row>
    <row r="26" spans="1:4">
      <c r="A26" s="44">
        <v>24</v>
      </c>
      <c r="B26" s="73" t="s">
        <v>43</v>
      </c>
      <c r="C26" s="8">
        <v>-2.6195915302652684</v>
      </c>
      <c r="D26" s="6">
        <f>+IF(C26&gt;$D$42,100,IF(AND(C26&gt;$D$43,C26&lt;=$D$42),80,IF(AND(C26&gt;$D$44,C26&lt;=$D$43),60,IF(AND(C26&gt;$D$45,C26&lt;=$D$44),40,20))))</f>
        <v>20</v>
      </c>
    </row>
    <row r="27" spans="1:4">
      <c r="A27" s="44">
        <v>25</v>
      </c>
      <c r="B27" s="73" t="s">
        <v>44</v>
      </c>
      <c r="C27" s="8">
        <v>-0.68</v>
      </c>
      <c r="D27" s="6">
        <f>+IF(C27&gt;$D$42,100,IF(AND(C27&gt;$D$43,C27&lt;=$D$42),80,IF(AND(C27&gt;$D$44,C27&lt;=$D$43),60,IF(AND(C27&gt;$D$45,C27&lt;=$D$44),40,20))))</f>
        <v>80</v>
      </c>
    </row>
    <row r="28" spans="1:4">
      <c r="A28" s="44">
        <v>26</v>
      </c>
      <c r="B28" s="73" t="s">
        <v>45</v>
      </c>
      <c r="C28" s="8">
        <v>-1.889030466982504</v>
      </c>
      <c r="D28" s="6">
        <f>+IF(C28&gt;$D$42,100,IF(AND(C28&gt;$D$43,C28&lt;=$D$42),80,IF(AND(C28&gt;$D$44,C28&lt;=$D$43),60,IF(AND(C28&gt;$D$45,C28&lt;=$D$44),40,20))))</f>
        <v>20</v>
      </c>
    </row>
    <row r="29" spans="1:4">
      <c r="A29" s="44">
        <v>27</v>
      </c>
      <c r="B29" s="73" t="s">
        <v>46</v>
      </c>
      <c r="C29" s="8">
        <v>-0.82300997184087488</v>
      </c>
      <c r="D29" s="6">
        <f>+IF(C29&gt;$D$42,100,IF(AND(C29&gt;$D$43,C29&lt;=$D$42),80,IF(AND(C29&gt;$D$44,C29&lt;=$D$43),60,IF(AND(C29&gt;$D$45,C29&lt;=$D$44),40,20))))</f>
        <v>60</v>
      </c>
    </row>
    <row r="30" spans="1:4">
      <c r="A30" s="44">
        <v>28</v>
      </c>
      <c r="B30" s="73" t="s">
        <v>47</v>
      </c>
      <c r="C30" s="8">
        <v>-1.2931954868148925</v>
      </c>
      <c r="D30" s="6">
        <f>+IF(C30&gt;$D$42,100,IF(AND(C30&gt;$D$43,C30&lt;=$D$42),80,IF(AND(C30&gt;$D$44,C30&lt;=$D$43),60,IF(AND(C30&gt;$D$45,C30&lt;=$D$44),40,20))))</f>
        <v>40</v>
      </c>
    </row>
    <row r="31" spans="1:4">
      <c r="A31" s="44">
        <v>29</v>
      </c>
      <c r="B31" s="73" t="s">
        <v>48</v>
      </c>
      <c r="C31" s="8">
        <v>-0.65</v>
      </c>
      <c r="D31" s="6">
        <f>+IF(C31&gt;$D$42,100,IF(AND(C31&gt;$D$43,C31&lt;=$D$42),80,IF(AND(C31&gt;$D$44,C31&lt;=$D$43),60,IF(AND(C31&gt;$D$45,C31&lt;=$D$44),40,20))))</f>
        <v>80</v>
      </c>
    </row>
    <row r="32" spans="1:4">
      <c r="A32" s="44">
        <v>30</v>
      </c>
      <c r="B32" s="73" t="s">
        <v>49</v>
      </c>
      <c r="C32" s="8">
        <v>0.3446704318442248</v>
      </c>
      <c r="D32" s="6">
        <f>+IF(C32&gt;$D$42,100,IF(AND(C32&gt;$D$43,C32&lt;=$D$42),80,IF(AND(C32&gt;$D$44,C32&lt;=$D$43),60,IF(AND(C32&gt;$D$45,C32&lt;=$D$44),40,20))))</f>
        <v>100</v>
      </c>
    </row>
    <row r="33" spans="1:4">
      <c r="A33" s="44">
        <v>31</v>
      </c>
      <c r="B33" s="73" t="s">
        <v>50</v>
      </c>
      <c r="C33" s="8">
        <v>-0.47504558926121981</v>
      </c>
      <c r="D33" s="6">
        <f>+IF(C33&gt;$D$42,100,IF(AND(C33&gt;$D$43,C33&lt;=$D$42),80,IF(AND(C33&gt;$D$44,C33&lt;=$D$43),60,IF(AND(C33&gt;$D$45,C33&lt;=$D$44),40,20))))</f>
        <v>80</v>
      </c>
    </row>
    <row r="34" spans="1:4">
      <c r="A34" s="44">
        <v>32</v>
      </c>
      <c r="B34" s="73" t="s">
        <v>51</v>
      </c>
      <c r="C34" s="8">
        <v>0.33456958826922617</v>
      </c>
      <c r="D34" s="6">
        <f>+IF(C34&gt;$D$42,100,IF(AND(C34&gt;$D$43,C34&lt;=$D$42),80,IF(AND(C34&gt;$D$44,C34&lt;=$D$43),60,IF(AND(C34&gt;$D$45,C34&lt;=$D$44),40,20))))</f>
        <v>100</v>
      </c>
    </row>
    <row r="35" spans="1:4">
      <c r="A35" s="44">
        <v>33</v>
      </c>
      <c r="B35" s="73" t="s">
        <v>52</v>
      </c>
      <c r="C35" s="8">
        <v>-1.18</v>
      </c>
      <c r="D35" s="6">
        <f>+IF(C35&gt;$D$42,100,IF(AND(C35&gt;$D$43,C35&lt;=$D$42),80,IF(AND(C35&gt;$D$44,C35&lt;=$D$43),60,IF(AND(C35&gt;$D$45,C35&lt;=$D$44),40,20))))</f>
        <v>40</v>
      </c>
    </row>
    <row r="36" spans="1:4">
      <c r="A36" s="44">
        <v>34</v>
      </c>
      <c r="B36" s="73" t="s">
        <v>53</v>
      </c>
      <c r="C36" s="8">
        <v>1.1299999999999999</v>
      </c>
      <c r="D36" s="6">
        <f>+IF(C36&gt;$D$42,100,IF(AND(C36&gt;$D$43,C36&lt;=$D$42),80,IF(AND(C36&gt;$D$44,C36&lt;=$D$43),60,IF(AND(C36&gt;$D$45,C36&lt;=$D$44),40,20))))</f>
        <v>100</v>
      </c>
    </row>
    <row r="37" spans="1:4">
      <c r="A37" s="44">
        <v>35</v>
      </c>
      <c r="B37" s="73" t="s">
        <v>54</v>
      </c>
      <c r="C37" s="8">
        <v>-0.90204238397792413</v>
      </c>
      <c r="D37" s="6">
        <f>+IF(C37&gt;$D$42,100,IF(AND(C37&gt;$D$43,C37&lt;=$D$42),80,IF(AND(C37&gt;$D$44,C37&lt;=$D$43),60,IF(AND(C37&gt;$D$45,C37&lt;=$D$44),40,20))))</f>
        <v>60</v>
      </c>
    </row>
    <row r="38" spans="1:4">
      <c r="B38" s="8"/>
    </row>
    <row r="40" spans="1:4">
      <c r="B40" s="293" t="s">
        <v>510</v>
      </c>
      <c r="C40" s="295"/>
    </row>
    <row r="41" spans="1:4">
      <c r="B41" s="111" t="s">
        <v>383</v>
      </c>
      <c r="C41" s="112" t="s">
        <v>247</v>
      </c>
    </row>
    <row r="42" spans="1:4" ht="15">
      <c r="B42" s="28" t="s">
        <v>511</v>
      </c>
      <c r="C42" s="80">
        <v>100</v>
      </c>
      <c r="D42" s="258">
        <f>PERCENTILE($C$3:$C$37,0.8)</f>
        <v>-0.21370671117601686</v>
      </c>
    </row>
    <row r="43" spans="1:4" ht="15">
      <c r="B43" s="162" t="s">
        <v>512</v>
      </c>
      <c r="C43" s="80">
        <v>80</v>
      </c>
      <c r="D43" s="258">
        <f>PERCENTILE($C$3:$C$37,0.6)</f>
        <v>-0.68600000000000005</v>
      </c>
    </row>
    <row r="44" spans="1:4" ht="15">
      <c r="B44" s="162" t="s">
        <v>513</v>
      </c>
      <c r="C44" s="80">
        <v>60</v>
      </c>
      <c r="D44" s="258">
        <f>PERCENTILE($C$3:$C$37,0.4)</f>
        <v>-1.0277835589582078</v>
      </c>
    </row>
    <row r="45" spans="1:4" ht="15">
      <c r="B45" s="162" t="s">
        <v>514</v>
      </c>
      <c r="C45" s="80">
        <v>40</v>
      </c>
      <c r="D45" s="258">
        <f>PERCENTILE($C$3:$C$37,0.2)</f>
        <v>-1.6436074239196852</v>
      </c>
    </row>
    <row r="46" spans="1:4">
      <c r="B46" s="28" t="s">
        <v>515</v>
      </c>
      <c r="C46" s="80">
        <v>20</v>
      </c>
    </row>
    <row r="51" spans="1:5">
      <c r="A51" s="27" t="s">
        <v>363</v>
      </c>
      <c r="B51" s="27" t="s">
        <v>516</v>
      </c>
      <c r="C51" s="27" t="s">
        <v>517</v>
      </c>
      <c r="D51" s="27" t="s">
        <v>518</v>
      </c>
      <c r="E51" s="27"/>
    </row>
    <row r="52" spans="1:5">
      <c r="A52" s="27" t="s">
        <v>18</v>
      </c>
      <c r="B52" s="27" t="s">
        <v>519</v>
      </c>
      <c r="C52" s="252" t="s">
        <v>520</v>
      </c>
      <c r="D52" s="27">
        <v>-0.77200000000000002</v>
      </c>
      <c r="E52" s="27">
        <v>60</v>
      </c>
    </row>
    <row r="53" spans="1:5">
      <c r="A53" s="27" t="s">
        <v>521</v>
      </c>
      <c r="B53" s="27" t="s">
        <v>522</v>
      </c>
      <c r="C53" s="252" t="s">
        <v>523</v>
      </c>
      <c r="D53" s="27">
        <v>-0.33300000000000002</v>
      </c>
      <c r="E53" s="27">
        <v>80</v>
      </c>
    </row>
    <row r="54" spans="1:5">
      <c r="A54" s="27" t="s">
        <v>21</v>
      </c>
      <c r="B54" s="27" t="s">
        <v>524</v>
      </c>
      <c r="C54" s="252" t="s">
        <v>525</v>
      </c>
      <c r="D54" s="27">
        <v>-0.99099999999999999</v>
      </c>
      <c r="E54" s="27">
        <v>60</v>
      </c>
    </row>
    <row r="55" spans="1:5">
      <c r="A55" s="27" t="s">
        <v>526</v>
      </c>
      <c r="B55" s="27" t="s">
        <v>527</v>
      </c>
      <c r="C55" s="252" t="s">
        <v>528</v>
      </c>
      <c r="D55" s="27">
        <v>-1.34</v>
      </c>
      <c r="E55" s="27">
        <v>40</v>
      </c>
    </row>
    <row r="56" spans="1:5">
      <c r="A56" s="27" t="s">
        <v>529</v>
      </c>
      <c r="B56" s="27" t="s">
        <v>530</v>
      </c>
      <c r="C56" s="252" t="s">
        <v>531</v>
      </c>
      <c r="D56" s="27">
        <v>-0.97199999999999998</v>
      </c>
      <c r="E56" s="27">
        <v>60</v>
      </c>
    </row>
    <row r="57" spans="1:5">
      <c r="A57" s="27" t="s">
        <v>25</v>
      </c>
      <c r="B57" s="27" t="s">
        <v>532</v>
      </c>
      <c r="C57" s="252" t="s">
        <v>533</v>
      </c>
      <c r="D57" s="27">
        <v>-2.1160000000000001</v>
      </c>
      <c r="E57" s="27">
        <v>20</v>
      </c>
    </row>
    <row r="58" spans="1:5">
      <c r="A58" s="27" t="s">
        <v>26</v>
      </c>
      <c r="B58" s="27" t="s">
        <v>534</v>
      </c>
      <c r="C58" s="252" t="s">
        <v>535</v>
      </c>
      <c r="D58" s="27">
        <v>-1.8819999999999999</v>
      </c>
      <c r="E58" s="27">
        <v>20</v>
      </c>
    </row>
    <row r="59" spans="1:5">
      <c r="A59" s="27" t="s">
        <v>27</v>
      </c>
      <c r="B59" s="27" t="s">
        <v>536</v>
      </c>
      <c r="C59" s="252" t="s">
        <v>537</v>
      </c>
      <c r="D59" s="27">
        <v>-3.3</v>
      </c>
      <c r="E59" s="27">
        <v>20</v>
      </c>
    </row>
    <row r="60" spans="1:5">
      <c r="A60" s="27" t="s">
        <v>538</v>
      </c>
      <c r="B60" s="27" t="s">
        <v>539</v>
      </c>
      <c r="C60" s="27" t="s">
        <v>540</v>
      </c>
      <c r="D60" s="27">
        <v>0.23</v>
      </c>
      <c r="E60" s="27">
        <v>100</v>
      </c>
    </row>
    <row r="61" spans="1:5">
      <c r="A61" s="27" t="s">
        <v>29</v>
      </c>
      <c r="B61" s="27" t="s">
        <v>541</v>
      </c>
      <c r="C61" s="252" t="s">
        <v>542</v>
      </c>
      <c r="D61" s="27">
        <v>-1.62</v>
      </c>
      <c r="E61" s="27">
        <v>40</v>
      </c>
    </row>
    <row r="62" spans="1:5">
      <c r="A62" s="27" t="s">
        <v>30</v>
      </c>
      <c r="B62" s="27" t="s">
        <v>543</v>
      </c>
      <c r="C62" s="252" t="s">
        <v>544</v>
      </c>
      <c r="D62" s="27">
        <v>-1.675</v>
      </c>
      <c r="E62" s="27">
        <v>40</v>
      </c>
    </row>
    <row r="63" spans="1:5">
      <c r="A63" s="27" t="s">
        <v>31</v>
      </c>
      <c r="B63" s="27" t="s">
        <v>545</v>
      </c>
      <c r="C63" s="252" t="s">
        <v>546</v>
      </c>
      <c r="D63" s="27">
        <v>-1.39</v>
      </c>
      <c r="E63" s="27">
        <v>40</v>
      </c>
    </row>
    <row r="64" spans="1:5">
      <c r="A64" s="27" t="s">
        <v>497</v>
      </c>
      <c r="B64" s="27" t="s">
        <v>547</v>
      </c>
      <c r="C64" s="252" t="s">
        <v>548</v>
      </c>
      <c r="D64" s="27">
        <v>-0.27300000000000002</v>
      </c>
      <c r="E64" s="27">
        <v>80</v>
      </c>
    </row>
    <row r="65" spans="1:5">
      <c r="A65" s="27" t="s">
        <v>33</v>
      </c>
      <c r="B65" s="27" t="s">
        <v>549</v>
      </c>
      <c r="C65" s="252" t="s">
        <v>550</v>
      </c>
      <c r="D65" s="27">
        <v>-0.75</v>
      </c>
      <c r="E65" s="27">
        <v>60</v>
      </c>
    </row>
    <row r="66" spans="1:5">
      <c r="A66" s="27" t="s">
        <v>34</v>
      </c>
      <c r="B66" s="27" t="s">
        <v>551</v>
      </c>
      <c r="C66" s="252" t="s">
        <v>552</v>
      </c>
      <c r="D66" s="27">
        <v>-1.083</v>
      </c>
      <c r="E66" s="27">
        <v>60</v>
      </c>
    </row>
    <row r="67" spans="1:5">
      <c r="A67" s="27" t="s">
        <v>35</v>
      </c>
      <c r="B67" s="27" t="s">
        <v>553</v>
      </c>
      <c r="C67" s="252" t="s">
        <v>554</v>
      </c>
      <c r="D67" s="27">
        <v>-0.69</v>
      </c>
      <c r="E67" s="27">
        <v>80</v>
      </c>
    </row>
    <row r="68" spans="1:5">
      <c r="A68" s="27" t="s">
        <v>36</v>
      </c>
      <c r="B68" s="27" t="s">
        <v>555</v>
      </c>
      <c r="C68" s="252" t="s">
        <v>556</v>
      </c>
      <c r="D68" s="27">
        <v>-1.6359999999999999</v>
      </c>
      <c r="E68" s="27">
        <v>40</v>
      </c>
    </row>
    <row r="69" spans="1:5">
      <c r="A69" s="27" t="s">
        <v>37</v>
      </c>
      <c r="B69" s="27" t="s">
        <v>557</v>
      </c>
      <c r="C69" s="27" t="s">
        <v>558</v>
      </c>
      <c r="D69" s="27">
        <v>0.21</v>
      </c>
      <c r="E69" s="27">
        <v>100</v>
      </c>
    </row>
    <row r="70" spans="1:5">
      <c r="A70" s="27" t="s">
        <v>379</v>
      </c>
      <c r="B70" s="27" t="s">
        <v>559</v>
      </c>
      <c r="C70" s="252" t="s">
        <v>560</v>
      </c>
      <c r="D70" s="27">
        <v>-0.2646</v>
      </c>
      <c r="E70" s="27">
        <v>100</v>
      </c>
    </row>
    <row r="71" spans="1:5">
      <c r="A71" s="27" t="s">
        <v>561</v>
      </c>
      <c r="B71" s="27" t="s">
        <v>562</v>
      </c>
      <c r="C71" s="27" t="s">
        <v>563</v>
      </c>
      <c r="D71" s="27">
        <v>0.18</v>
      </c>
      <c r="E71" s="27">
        <v>100</v>
      </c>
    </row>
    <row r="72" spans="1:5">
      <c r="A72" s="27" t="s">
        <v>40</v>
      </c>
      <c r="B72" s="27" t="s">
        <v>564</v>
      </c>
      <c r="C72" s="252" t="s">
        <v>565</v>
      </c>
      <c r="D72" s="27">
        <v>-0.64800000000000002</v>
      </c>
      <c r="E72" s="27">
        <v>80</v>
      </c>
    </row>
    <row r="73" spans="1:5">
      <c r="A73" s="27" t="s">
        <v>41</v>
      </c>
      <c r="B73" s="27" t="s">
        <v>566</v>
      </c>
      <c r="C73" s="252" t="s">
        <v>567</v>
      </c>
      <c r="D73" s="27">
        <v>-2.028</v>
      </c>
      <c r="E73" s="27">
        <v>20</v>
      </c>
    </row>
    <row r="74" spans="1:5">
      <c r="A74" s="27" t="s">
        <v>568</v>
      </c>
      <c r="B74" s="27" t="s">
        <v>569</v>
      </c>
      <c r="C74" s="252" t="s">
        <v>570</v>
      </c>
      <c r="D74" s="27">
        <v>-0.01</v>
      </c>
      <c r="E74" s="27">
        <v>100</v>
      </c>
    </row>
    <row r="75" spans="1:5">
      <c r="A75" s="27" t="s">
        <v>43</v>
      </c>
      <c r="B75" s="27" t="s">
        <v>571</v>
      </c>
      <c r="C75" s="252" t="s">
        <v>572</v>
      </c>
      <c r="D75" s="27">
        <v>-2.62</v>
      </c>
      <c r="E75" s="27">
        <v>20</v>
      </c>
    </row>
    <row r="76" spans="1:5">
      <c r="A76" s="27" t="s">
        <v>44</v>
      </c>
      <c r="B76" s="27" t="s">
        <v>573</v>
      </c>
      <c r="C76" s="252" t="s">
        <v>574</v>
      </c>
      <c r="D76" s="27">
        <v>-0.68</v>
      </c>
      <c r="E76" s="27">
        <v>80</v>
      </c>
    </row>
    <row r="77" spans="1:5">
      <c r="A77" s="27" t="s">
        <v>45</v>
      </c>
      <c r="B77" s="27" t="s">
        <v>575</v>
      </c>
      <c r="C77" s="252" t="s">
        <v>576</v>
      </c>
      <c r="D77" s="27">
        <v>-1.889</v>
      </c>
      <c r="E77" s="27">
        <v>20</v>
      </c>
    </row>
    <row r="78" spans="1:5">
      <c r="A78" s="27" t="s">
        <v>577</v>
      </c>
      <c r="B78" s="27" t="s">
        <v>578</v>
      </c>
      <c r="C78" s="252" t="s">
        <v>579</v>
      </c>
      <c r="D78" s="27">
        <v>-0.82299999999999995</v>
      </c>
      <c r="E78" s="27">
        <v>60</v>
      </c>
    </row>
    <row r="79" spans="1:5">
      <c r="A79" s="27" t="s">
        <v>580</v>
      </c>
      <c r="B79" s="27" t="s">
        <v>581</v>
      </c>
      <c r="C79" s="252" t="s">
        <v>582</v>
      </c>
      <c r="D79" s="27">
        <v>-1.2929999999999999</v>
      </c>
      <c r="E79" s="27">
        <v>40</v>
      </c>
    </row>
    <row r="80" spans="1:5">
      <c r="A80" s="27" t="s">
        <v>48</v>
      </c>
      <c r="B80" s="27" t="s">
        <v>583</v>
      </c>
      <c r="C80" s="252" t="s">
        <v>584</v>
      </c>
      <c r="D80" s="27">
        <v>-0.65</v>
      </c>
      <c r="E80" s="27">
        <v>80</v>
      </c>
    </row>
    <row r="81" spans="1:5">
      <c r="A81" s="27" t="s">
        <v>49</v>
      </c>
      <c r="B81" s="27" t="s">
        <v>585</v>
      </c>
      <c r="C81" s="27" t="s">
        <v>586</v>
      </c>
      <c r="D81" s="27">
        <v>0.34499999999999997</v>
      </c>
      <c r="E81" s="27">
        <v>100</v>
      </c>
    </row>
    <row r="82" spans="1:5">
      <c r="A82" s="27" t="s">
        <v>50</v>
      </c>
      <c r="B82" s="27" t="s">
        <v>587</v>
      </c>
      <c r="C82" s="252" t="s">
        <v>588</v>
      </c>
      <c r="D82" s="27">
        <v>-0.47499999999999998</v>
      </c>
      <c r="E82" s="27">
        <v>80</v>
      </c>
    </row>
    <row r="83" spans="1:5">
      <c r="A83" s="27" t="s">
        <v>589</v>
      </c>
      <c r="B83" s="27" t="s">
        <v>590</v>
      </c>
      <c r="C83" s="27" t="s">
        <v>591</v>
      </c>
      <c r="D83" s="27">
        <v>0.33500000000000002</v>
      </c>
      <c r="E83" s="27">
        <v>100</v>
      </c>
    </row>
    <row r="84" spans="1:5">
      <c r="A84" s="27" t="s">
        <v>52</v>
      </c>
      <c r="B84" s="27" t="s">
        <v>592</v>
      </c>
      <c r="C84" s="252" t="s">
        <v>593</v>
      </c>
      <c r="D84" s="27">
        <v>-1.18</v>
      </c>
      <c r="E84" s="27">
        <v>40</v>
      </c>
    </row>
    <row r="85" spans="1:5">
      <c r="A85" s="27" t="s">
        <v>53</v>
      </c>
      <c r="B85" s="27" t="s">
        <v>594</v>
      </c>
      <c r="C85" s="27" t="s">
        <v>595</v>
      </c>
      <c r="D85" s="27">
        <v>1.1299999999999999</v>
      </c>
      <c r="E85" s="27">
        <v>100</v>
      </c>
    </row>
    <row r="86" spans="1:5">
      <c r="A86" s="27" t="s">
        <v>54</v>
      </c>
      <c r="B86" s="27" t="s">
        <v>596</v>
      </c>
      <c r="C86" s="252" t="s">
        <v>597</v>
      </c>
      <c r="D86" s="27">
        <v>-0.90200000000000002</v>
      </c>
      <c r="E86" s="27">
        <v>60</v>
      </c>
    </row>
  </sheetData>
  <mergeCells count="2">
    <mergeCell ref="A1:D1"/>
    <mergeCell ref="B40:C4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9EB71-EDCE-4F40-9BF0-033B66DBCA18}">
  <sheetPr>
    <tabColor rgb="FF00B050"/>
  </sheetPr>
  <dimension ref="A1:L45"/>
  <sheetViews>
    <sheetView zoomScale="40" zoomScaleNormal="40" workbookViewId="0">
      <selection sqref="A1:L1"/>
    </sheetView>
  </sheetViews>
  <sheetFormatPr defaultColWidth="11.42578125" defaultRowHeight="15" customHeight="1"/>
  <cols>
    <col min="1" max="1" width="29.85546875" bestFit="1" customWidth="1"/>
    <col min="2" max="9" width="12.42578125" style="11" customWidth="1"/>
    <col min="10" max="10" width="10.7109375" style="19" customWidth="1"/>
    <col min="12" max="12" width="14.42578125" style="20" bestFit="1" customWidth="1"/>
  </cols>
  <sheetData>
    <row r="1" spans="1:12" ht="43.5">
      <c r="B1" s="51" t="s">
        <v>598</v>
      </c>
      <c r="C1" s="52" t="s">
        <v>599</v>
      </c>
      <c r="D1" s="52" t="s">
        <v>600</v>
      </c>
      <c r="E1" s="52" t="s">
        <v>601</v>
      </c>
      <c r="F1" s="51" t="s">
        <v>602</v>
      </c>
      <c r="G1" s="52" t="s">
        <v>603</v>
      </c>
      <c r="H1" s="53" t="s">
        <v>604</v>
      </c>
      <c r="I1" s="51" t="s">
        <v>605</v>
      </c>
      <c r="J1" s="55" t="s">
        <v>606</v>
      </c>
      <c r="K1" s="46" t="s">
        <v>607</v>
      </c>
    </row>
    <row r="2" spans="1:12" ht="14.45">
      <c r="A2" s="201" t="s">
        <v>608</v>
      </c>
      <c r="B2" s="202">
        <v>0.3</v>
      </c>
      <c r="C2" s="203">
        <v>0.1</v>
      </c>
      <c r="D2" s="203">
        <v>0.45</v>
      </c>
      <c r="E2" s="203">
        <v>0.17499999999999999</v>
      </c>
      <c r="F2" s="204">
        <v>0.4</v>
      </c>
      <c r="G2" s="203">
        <v>0.17499999999999999</v>
      </c>
      <c r="H2" s="203">
        <v>0.1</v>
      </c>
      <c r="I2" s="204">
        <v>0.3</v>
      </c>
      <c r="J2" s="199"/>
      <c r="K2" s="200"/>
    </row>
    <row r="3" spans="1:12" ht="24" customHeight="1">
      <c r="A3" s="46" t="s">
        <v>124</v>
      </c>
      <c r="B3" s="54" t="s">
        <v>609</v>
      </c>
      <c r="C3" s="54" t="s">
        <v>610</v>
      </c>
      <c r="D3" s="54" t="s">
        <v>611</v>
      </c>
      <c r="E3" s="54" t="s">
        <v>612</v>
      </c>
      <c r="F3" s="54" t="s">
        <v>613</v>
      </c>
      <c r="G3" s="54" t="s">
        <v>614</v>
      </c>
      <c r="H3" s="54" t="s">
        <v>615</v>
      </c>
      <c r="I3" s="54" t="s">
        <v>616</v>
      </c>
      <c r="J3" s="56" t="s">
        <v>617</v>
      </c>
      <c r="K3" s="57" t="s">
        <v>618</v>
      </c>
      <c r="L3" s="47" t="s">
        <v>619</v>
      </c>
    </row>
    <row r="4" spans="1:12" ht="14.45">
      <c r="A4" s="245" t="s">
        <v>18</v>
      </c>
      <c r="B4" s="49">
        <f>+VLOOKUP(A4,'1. Seguridad de las cadenas de '!$B$5:$AK$39,36,0)</f>
        <v>80</v>
      </c>
      <c r="C4" s="49">
        <f>+VLOOKUP(A4,'2. Importancia econ y comercial'!$B$5:$AJ$39,35,0)</f>
        <v>62</v>
      </c>
      <c r="D4" s="49">
        <f>+VLOOKUP(A4,'3. Función productiva, industr'!$B$13:$N$47,13,0)</f>
        <v>60</v>
      </c>
      <c r="E4" s="49">
        <f>+VLOOKUP(A4,'4. Favorabilidad Geo-Minera'!$B$80:$E$114,4,0)</f>
        <v>80</v>
      </c>
      <c r="F4" s="180">
        <f>+VLOOKUP(A4,'5. Inserción mercado mundial'!$B$3:$P$37,15,0)</f>
        <v>75</v>
      </c>
      <c r="G4" s="49">
        <f>+VLOOKUP(A4,'6. Seguridad y Sob. Nacional'!$B$4:$C$38,2,0)</f>
        <v>0</v>
      </c>
      <c r="H4" s="179">
        <f>VLOOKUP(A4,'7. Determinantes ambientales '!$B$4:$C$38,2,0)</f>
        <v>50</v>
      </c>
      <c r="I4" s="49">
        <f>VLOOKUP(A4,'8. Potencial de Inserción '!$B$3:$D$37,3,0)</f>
        <v>60</v>
      </c>
      <c r="J4" s="177">
        <f>+(C4*$C$2)+(D4*$D$2)+(E4*$E$2)+(G4*$G$2)+(H4*$H$2)</f>
        <v>52.2</v>
      </c>
      <c r="K4" s="178">
        <f>+(B4*$B$2)+(F4*$F$2)+(I4*$I$2)</f>
        <v>72</v>
      </c>
      <c r="L4" s="50" t="str">
        <f>+IF(AND(J4&gt;=$J$44,K4&gt;=$K$44),"Estratégico","No estratégico")</f>
        <v>Estratégico</v>
      </c>
    </row>
    <row r="5" spans="1:12" ht="14.45">
      <c r="A5" s="245" t="s">
        <v>20</v>
      </c>
      <c r="B5" s="49">
        <f>+VLOOKUP(A5,'1. Seguridad de las cadenas de '!$B$5:$AK$39,36,0)</f>
        <v>90</v>
      </c>
      <c r="C5" s="49">
        <f>+VLOOKUP(A5,'2. Importancia econ y comercial'!$B$5:$AJ$39,35,0)</f>
        <v>54</v>
      </c>
      <c r="D5" s="49">
        <f>+VLOOKUP(A5,'3. Función productiva, industr'!$B$13:$N$47,13,0)</f>
        <v>100</v>
      </c>
      <c r="E5" s="49">
        <f>+VLOOKUP(A5,'4. Favorabilidad Geo-Minera'!$B$80:$E$114,4,0)</f>
        <v>88</v>
      </c>
      <c r="F5" s="180">
        <f>+VLOOKUP(A5,'5. Inserción mercado mundial'!$B$3:$P$37,15,0)</f>
        <v>60</v>
      </c>
      <c r="G5" s="49">
        <f>+VLOOKUP(A5,'6. Seguridad y Sob. Nacional'!$B$4:$C$38,2,0)</f>
        <v>0</v>
      </c>
      <c r="H5" s="179">
        <f>VLOOKUP(A5,'7. Determinantes ambientales '!$B$4:$C$38,2,0)</f>
        <v>70.363621662981856</v>
      </c>
      <c r="I5" s="49">
        <f>VLOOKUP(A5,'8. Potencial de Inserción '!$B$3:$D$37,3,0)</f>
        <v>80</v>
      </c>
      <c r="J5" s="177">
        <f>+(C5*$C$2)+(D5*$D$2)+(E5*$E$2)+(G5*$G$2)+(H5*$H$2)</f>
        <v>72.836362166298187</v>
      </c>
      <c r="K5" s="178">
        <f t="shared" ref="K5:K38" si="0">+(B5*$B$2)+(F5*$F$2)+(I5*$I$2)</f>
        <v>75</v>
      </c>
      <c r="L5" s="50" t="str">
        <f t="shared" ref="L5:L38" si="1">+IF(AND(J5&gt;=$J$44,K5&gt;=$K$44),"Estratégico","No estratégico")</f>
        <v>Estratégico</v>
      </c>
    </row>
    <row r="6" spans="1:12" ht="14.45">
      <c r="A6" s="245" t="s">
        <v>21</v>
      </c>
      <c r="B6" s="49">
        <f>+VLOOKUP(A6,'1. Seguridad de las cadenas de '!$B$5:$AK$39,36,0)</f>
        <v>0</v>
      </c>
      <c r="C6" s="49">
        <f>+VLOOKUP(A6,'2. Importancia econ y comercial'!$B$5:$AJ$39,35,0)</f>
        <v>6</v>
      </c>
      <c r="D6" s="49">
        <f>+VLOOKUP(A6,'3. Función productiva, industr'!$B$13:$N$47,13,0)</f>
        <v>50</v>
      </c>
      <c r="E6" s="49">
        <f>+VLOOKUP(A6,'4. Favorabilidad Geo-Minera'!$B$80:$E$114,4,0)</f>
        <v>28</v>
      </c>
      <c r="F6" s="180">
        <f>+VLOOKUP(A6,'5. Inserción mercado mundial'!$B$3:$P$37,15,0)</f>
        <v>45</v>
      </c>
      <c r="G6" s="49">
        <f>+VLOOKUP(A6,'6. Seguridad y Sob. Nacional'!$B$4:$C$38,2,0)</f>
        <v>0</v>
      </c>
      <c r="H6" s="179">
        <f>VLOOKUP(A6,'7. Determinantes ambientales '!$B$4:$C$38,2,0)</f>
        <v>39.196754939309344</v>
      </c>
      <c r="I6" s="49">
        <f>VLOOKUP(A6,'8. Potencial de Inserción '!$B$3:$D$37,3,0)</f>
        <v>60</v>
      </c>
      <c r="J6" s="177">
        <f t="shared" ref="J6:J38" si="2">+(C6*$C$2)+(D6*$D$2)+(E6*$E$2)+(G6*$G$2)+(H6*$H$2)</f>
        <v>31.919675493930935</v>
      </c>
      <c r="K6" s="178">
        <f t="shared" si="0"/>
        <v>36</v>
      </c>
      <c r="L6" s="50" t="str">
        <f>+IF(AND(J6&gt;=$J$44,K6&gt;=$K$44),"Estratégico","No estratégico")</f>
        <v>No estratégico</v>
      </c>
    </row>
    <row r="7" spans="1:12" ht="14.45">
      <c r="A7" s="245" t="s">
        <v>23</v>
      </c>
      <c r="B7" s="49">
        <f>+VLOOKUP(A7,'1. Seguridad de las cadenas de '!$B$5:$AK$39,36,0)</f>
        <v>50</v>
      </c>
      <c r="C7" s="49">
        <f>+VLOOKUP(A7,'2. Importancia econ y comercial'!$B$5:$AJ$39,35,0)</f>
        <v>46</v>
      </c>
      <c r="D7" s="49">
        <f>+VLOOKUP(A7,'3. Función productiva, industr'!$B$13:$N$47,13,0)</f>
        <v>80</v>
      </c>
      <c r="E7" s="49">
        <f>+VLOOKUP(A7,'4. Favorabilidad Geo-Minera'!$B$80:$E$114,4,0)</f>
        <v>68</v>
      </c>
      <c r="F7" s="180">
        <f>+VLOOKUP(A7,'5. Inserción mercado mundial'!$B$3:$P$37,15,0)</f>
        <v>45</v>
      </c>
      <c r="G7" s="49">
        <f>+VLOOKUP(A7,'6. Seguridad y Sob. Nacional'!$B$4:$C$38,2,0)</f>
        <v>0</v>
      </c>
      <c r="H7" s="179">
        <f>VLOOKUP(A7,'7. Determinantes ambientales '!$B$4:$C$38,2,0)</f>
        <v>76.315789473684205</v>
      </c>
      <c r="I7" s="49">
        <f>VLOOKUP(A7,'8. Potencial de Inserción '!$B$3:$D$37,3,0)</f>
        <v>40</v>
      </c>
      <c r="J7" s="177">
        <f t="shared" si="2"/>
        <v>60.131578947368425</v>
      </c>
      <c r="K7" s="178">
        <f t="shared" si="0"/>
        <v>45</v>
      </c>
      <c r="L7" s="50" t="str">
        <f t="shared" si="1"/>
        <v>Estratégico</v>
      </c>
    </row>
    <row r="8" spans="1:12" ht="14.45">
      <c r="A8" s="245" t="s">
        <v>24</v>
      </c>
      <c r="B8" s="49">
        <f>+VLOOKUP(A8,'1. Seguridad de las cadenas de '!$B$5:$AK$39,36,0)</f>
        <v>50</v>
      </c>
      <c r="C8" s="49">
        <f>+VLOOKUP(A8,'2. Importancia econ y comercial'!$B$5:$AJ$39,35,0)</f>
        <v>54</v>
      </c>
      <c r="D8" s="49">
        <f>+VLOOKUP(A8,'3. Función productiva, industr'!$B$13:$N$47,13,0)</f>
        <v>100</v>
      </c>
      <c r="E8" s="49">
        <f>+VLOOKUP(A8,'4. Favorabilidad Geo-Minera'!$B$80:$E$114,4,0)</f>
        <v>100</v>
      </c>
      <c r="F8" s="180">
        <f>+VLOOKUP(A8,'5. Inserción mercado mundial'!$B$3:$P$37,15,0)</f>
        <v>30</v>
      </c>
      <c r="G8" s="49">
        <f>+VLOOKUP(A8,'6. Seguridad y Sob. Nacional'!$B$4:$C$38,2,0)</f>
        <v>0</v>
      </c>
      <c r="H8" s="179">
        <f>VLOOKUP(A8,'7. Determinantes ambientales '!$B$4:$C$38,2,0)</f>
        <v>50</v>
      </c>
      <c r="I8" s="49">
        <f>VLOOKUP(A8,'8. Potencial de Inserción '!$B$3:$D$37,3,0)</f>
        <v>60</v>
      </c>
      <c r="J8" s="177">
        <f t="shared" si="2"/>
        <v>72.900000000000006</v>
      </c>
      <c r="K8" s="178">
        <f t="shared" si="0"/>
        <v>45</v>
      </c>
      <c r="L8" s="50" t="str">
        <f t="shared" si="1"/>
        <v>Estratégico</v>
      </c>
    </row>
    <row r="9" spans="1:12" ht="14.45">
      <c r="A9" s="245" t="s">
        <v>25</v>
      </c>
      <c r="B9" s="49">
        <f>+VLOOKUP(A9,'1. Seguridad de las cadenas de '!$B$5:$AK$39,36,0)</f>
        <v>90</v>
      </c>
      <c r="C9" s="49">
        <f>+VLOOKUP(A9,'2. Importancia econ y comercial'!$B$5:$AJ$39,35,0)</f>
        <v>100</v>
      </c>
      <c r="D9" s="49">
        <f>+VLOOKUP(A9,'3. Función productiva, industr'!$B$13:$N$47,13,0)</f>
        <v>50</v>
      </c>
      <c r="E9" s="49">
        <f>+VLOOKUP(A9,'4. Favorabilidad Geo-Minera'!$B$80:$E$114,4,0)</f>
        <v>100</v>
      </c>
      <c r="F9" s="180">
        <f>+VLOOKUP(A9,'5. Inserción mercado mundial'!$B$3:$P$37,15,0)</f>
        <v>75</v>
      </c>
      <c r="G9" s="49">
        <f>+VLOOKUP(A9,'6. Seguridad y Sob. Nacional'!$B$4:$C$38,2,0)</f>
        <v>50</v>
      </c>
      <c r="H9" s="179">
        <f>VLOOKUP(A9,'7. Determinantes ambientales '!$B$4:$C$38,2,0)</f>
        <v>57.352941176470587</v>
      </c>
      <c r="I9" s="49">
        <f>VLOOKUP(A9,'8. Potencial de Inserción '!$B$3:$D$37,3,0)</f>
        <v>20</v>
      </c>
      <c r="J9" s="177">
        <f t="shared" si="2"/>
        <v>64.485294117647058</v>
      </c>
      <c r="K9" s="178">
        <f t="shared" si="0"/>
        <v>63</v>
      </c>
      <c r="L9" s="50" t="str">
        <f t="shared" si="1"/>
        <v>Estratégico</v>
      </c>
    </row>
    <row r="10" spans="1:12" ht="14.45">
      <c r="A10" s="245" t="s">
        <v>26</v>
      </c>
      <c r="B10" s="49">
        <f>+VLOOKUP(A10,'1. Seguridad de las cadenas de '!$B$5:$AK$39,36,0)</f>
        <v>50</v>
      </c>
      <c r="C10" s="49">
        <f>+VLOOKUP(A10,'2. Importancia econ y comercial'!$B$5:$AJ$39,35,0)</f>
        <v>86</v>
      </c>
      <c r="D10" s="49">
        <f>+VLOOKUP(A10,'3. Función productiva, industr'!$B$13:$N$47,13,0)</f>
        <v>60</v>
      </c>
      <c r="E10" s="49">
        <f>+VLOOKUP(A10,'4. Favorabilidad Geo-Minera'!$B$80:$E$114,4,0)</f>
        <v>100</v>
      </c>
      <c r="F10" s="180">
        <f>+VLOOKUP(A10,'5. Inserción mercado mundial'!$B$3:$P$37,15,0)</f>
        <v>90</v>
      </c>
      <c r="G10" s="49">
        <f>+VLOOKUP(A10,'6. Seguridad y Sob. Nacional'!$B$4:$C$38,2,0)</f>
        <v>0</v>
      </c>
      <c r="H10" s="179">
        <f>VLOOKUP(A10,'7. Determinantes ambientales '!$B$4:$C$38,2,0)</f>
        <v>60.526315789473685</v>
      </c>
      <c r="I10" s="49">
        <f>VLOOKUP(A10,'8. Potencial de Inserción '!$B$3:$D$37,3,0)</f>
        <v>20</v>
      </c>
      <c r="J10" s="177">
        <f t="shared" si="2"/>
        <v>59.152631578947371</v>
      </c>
      <c r="K10" s="178">
        <f t="shared" si="0"/>
        <v>57</v>
      </c>
      <c r="L10" s="50" t="str">
        <f t="shared" si="1"/>
        <v>Estratégico</v>
      </c>
    </row>
    <row r="11" spans="1:12" ht="14.45">
      <c r="A11" s="245" t="s">
        <v>27</v>
      </c>
      <c r="B11" s="49">
        <f>+VLOOKUP(A11,'1. Seguridad de las cadenas de '!$B$5:$AK$39,36,0)</f>
        <v>20</v>
      </c>
      <c r="C11" s="49">
        <f>+VLOOKUP(A11,'2. Importancia econ y comercial'!$B$5:$AJ$39,35,0)</f>
        <v>38</v>
      </c>
      <c r="D11" s="49">
        <f>+VLOOKUP(A11,'3. Función productiva, industr'!$B$13:$N$47,13,0)</f>
        <v>80</v>
      </c>
      <c r="E11" s="49">
        <f>+VLOOKUP(A11,'4. Favorabilidad Geo-Minera'!$B$80:$E$114,4,0)</f>
        <v>36</v>
      </c>
      <c r="F11" s="180">
        <f>+VLOOKUP(A11,'5. Inserción mercado mundial'!$B$3:$P$37,15,0)</f>
        <v>45</v>
      </c>
      <c r="G11" s="49">
        <f>+VLOOKUP(A11,'6. Seguridad y Sob. Nacional'!$B$4:$C$38,2,0)</f>
        <v>0</v>
      </c>
      <c r="H11" s="179">
        <f>VLOOKUP(A11,'7. Determinantes ambientales '!$B$4:$C$38,2,0)</f>
        <v>50</v>
      </c>
      <c r="I11" s="49">
        <f>VLOOKUP(A11,'8. Potencial de Inserción '!$B$3:$D$37,3,0)</f>
        <v>20</v>
      </c>
      <c r="J11" s="177">
        <f t="shared" si="2"/>
        <v>51.099999999999994</v>
      </c>
      <c r="K11" s="178">
        <f t="shared" si="0"/>
        <v>30</v>
      </c>
      <c r="L11" s="50" t="str">
        <f t="shared" si="1"/>
        <v>No estratégico</v>
      </c>
    </row>
    <row r="12" spans="1:12" ht="14.45">
      <c r="A12" s="245" t="s">
        <v>378</v>
      </c>
      <c r="B12" s="49">
        <f>+VLOOKUP(A12,'1. Seguridad de las cadenas de '!$B$5:$AK$39,36,0)</f>
        <v>40</v>
      </c>
      <c r="C12" s="49">
        <f>+VLOOKUP(A12,'2. Importancia econ y comercial'!$B$5:$AJ$39,35,0)</f>
        <v>22</v>
      </c>
      <c r="D12" s="49">
        <f>+VLOOKUP(A12,'3. Función productiva, industr'!$B$13:$N$47,13,0)</f>
        <v>40</v>
      </c>
      <c r="E12" s="49">
        <f>+VLOOKUP(A12,'4. Favorabilidad Geo-Minera'!$B$80:$E$114,4,0)</f>
        <v>60</v>
      </c>
      <c r="F12" s="180">
        <f>+VLOOKUP(A12,'5. Inserción mercado mundial'!$B$3:$P$37,15,0)</f>
        <v>40</v>
      </c>
      <c r="G12" s="49">
        <f>+VLOOKUP(A12,'6. Seguridad y Sob. Nacional'!$B$4:$C$38,2,0)</f>
        <v>100</v>
      </c>
      <c r="H12" s="179">
        <f>VLOOKUP(A12,'7. Determinantes ambientales '!$B$4:$C$38,2,0)</f>
        <v>100</v>
      </c>
      <c r="I12" s="49">
        <f>VLOOKUP(A12,'8. Potencial de Inserción '!$B$3:$D$37,3,0)</f>
        <v>100</v>
      </c>
      <c r="J12" s="177">
        <f t="shared" si="2"/>
        <v>58.2</v>
      </c>
      <c r="K12" s="178">
        <f t="shared" si="0"/>
        <v>58</v>
      </c>
      <c r="L12" s="50" t="str">
        <f t="shared" si="1"/>
        <v>Estratégico</v>
      </c>
    </row>
    <row r="13" spans="1:12" ht="14.45">
      <c r="A13" s="245" t="s">
        <v>29</v>
      </c>
      <c r="B13" s="49">
        <f>+VLOOKUP(A13,'1. Seguridad de las cadenas de '!$B$5:$AK$39,36,0)</f>
        <v>90</v>
      </c>
      <c r="C13" s="49">
        <f>+VLOOKUP(A13,'2. Importancia econ y comercial'!$B$5:$AJ$39,35,0)</f>
        <v>86</v>
      </c>
      <c r="D13" s="49">
        <f>+VLOOKUP(A13,'3. Función productiva, industr'!$B$13:$N$47,13,0)</f>
        <v>0</v>
      </c>
      <c r="E13" s="49">
        <f>+VLOOKUP(A13,'4. Favorabilidad Geo-Minera'!$B$80:$E$114,4,0)</f>
        <v>100</v>
      </c>
      <c r="F13" s="180">
        <f>+VLOOKUP(A13,'5. Inserción mercado mundial'!$B$3:$P$37,15,0)</f>
        <v>55</v>
      </c>
      <c r="G13" s="49">
        <f>+VLOOKUP(A13,'6. Seguridad y Sob. Nacional'!$B$4:$C$38,2,0)</f>
        <v>50</v>
      </c>
      <c r="H13" s="179">
        <f>VLOOKUP(A13,'7. Determinantes ambientales '!$B$4:$C$38,2,0)</f>
        <v>76.315789473684205</v>
      </c>
      <c r="I13" s="49">
        <f>VLOOKUP(A13,'8. Potencial de Inserción '!$B$3:$D$37,3,0)</f>
        <v>40</v>
      </c>
      <c r="J13" s="177">
        <f t="shared" si="2"/>
        <v>42.481578947368419</v>
      </c>
      <c r="K13" s="178">
        <f t="shared" si="0"/>
        <v>61</v>
      </c>
      <c r="L13" s="50" t="str">
        <f t="shared" si="1"/>
        <v>Estratégico</v>
      </c>
    </row>
    <row r="14" spans="1:12" ht="14.45">
      <c r="A14" s="245" t="s">
        <v>30</v>
      </c>
      <c r="B14" s="49">
        <f>+VLOOKUP(A14,'1. Seguridad de las cadenas de '!$B$5:$AK$39,36,0)</f>
        <v>40</v>
      </c>
      <c r="C14" s="49">
        <f>+VLOOKUP(A14,'2. Importancia econ y comercial'!$B$5:$AJ$39,35,0)</f>
        <v>70</v>
      </c>
      <c r="D14" s="49">
        <f>+VLOOKUP(A14,'3. Función productiva, industr'!$B$13:$N$47,13,0)</f>
        <v>60</v>
      </c>
      <c r="E14" s="49">
        <f>+VLOOKUP(A14,'4. Favorabilidad Geo-Minera'!$B$80:$E$114,4,0)</f>
        <v>36</v>
      </c>
      <c r="F14" s="180">
        <f>+VLOOKUP(A14,'5. Inserción mercado mundial'!$B$3:$P$37,15,0)</f>
        <v>75</v>
      </c>
      <c r="G14" s="49">
        <f>+VLOOKUP(A14,'6. Seguridad y Sob. Nacional'!$B$4:$C$38,2,0)</f>
        <v>100</v>
      </c>
      <c r="H14" s="179">
        <f>VLOOKUP(A14,'7. Determinantes ambientales '!$B$4:$C$38,2,0)</f>
        <v>0</v>
      </c>
      <c r="I14" s="49">
        <f>VLOOKUP(A14,'8. Potencial de Inserción '!$B$3:$D$37,3,0)</f>
        <v>20</v>
      </c>
      <c r="J14" s="177">
        <f t="shared" si="2"/>
        <v>57.8</v>
      </c>
      <c r="K14" s="178">
        <f t="shared" si="0"/>
        <v>48</v>
      </c>
      <c r="L14" s="50" t="str">
        <f t="shared" si="1"/>
        <v>Estratégico</v>
      </c>
    </row>
    <row r="15" spans="1:12" ht="14.45">
      <c r="A15" s="245" t="s">
        <v>32</v>
      </c>
      <c r="B15" s="49">
        <f>+VLOOKUP(A15,'1. Seguridad de las cadenas de '!$B$5:$AK$39,36,0)</f>
        <v>30</v>
      </c>
      <c r="C15" s="49">
        <f>+VLOOKUP(A15,'2. Importancia econ y comercial'!$B$5:$AJ$39,35,0)</f>
        <v>0</v>
      </c>
      <c r="D15" s="49">
        <f>+VLOOKUP(A15,'3. Función productiva, industr'!$B$13:$N$47,13,0)</f>
        <v>20</v>
      </c>
      <c r="E15" s="49">
        <f>'4. Favorabilidad Geo-Minera'!E92</f>
        <v>40</v>
      </c>
      <c r="F15" s="180">
        <f>+VLOOKUP(A15,'5. Inserción mercado mundial'!$B$3:$P$37,15,0)</f>
        <v>55</v>
      </c>
      <c r="G15" s="49">
        <f>+VLOOKUP(A15,'6. Seguridad y Sob. Nacional'!$B$4:$C$38,2,0)</f>
        <v>0</v>
      </c>
      <c r="H15" s="179">
        <f>VLOOKUP(A15,'7. Determinantes ambientales '!$B$4:$C$38,2,0)</f>
        <v>60</v>
      </c>
      <c r="I15" s="49">
        <f>VLOOKUP(A15,'8. Potencial de Inserción '!$B$3:$D$37,3,0)</f>
        <v>80</v>
      </c>
      <c r="J15" s="177">
        <f t="shared" si="2"/>
        <v>22</v>
      </c>
      <c r="K15" s="178">
        <f t="shared" si="0"/>
        <v>55</v>
      </c>
      <c r="L15" s="50" t="str">
        <f t="shared" si="1"/>
        <v>No estratégico</v>
      </c>
    </row>
    <row r="16" spans="1:12" ht="14.45">
      <c r="A16" s="245" t="s">
        <v>31</v>
      </c>
      <c r="B16" s="49">
        <f>+VLOOKUP(A16,'1. Seguridad de las cadenas de '!$B$5:$AK$39,36,0)</f>
        <v>70</v>
      </c>
      <c r="C16" s="49">
        <f>+VLOOKUP(A16,'2. Importancia econ y comercial'!$B$5:$AJ$39,35,0)</f>
        <v>54</v>
      </c>
      <c r="D16" s="49">
        <f>+VLOOKUP(A16,'3. Función productiva, industr'!$B$13:$N$47,13,0)</f>
        <v>50</v>
      </c>
      <c r="E16" s="49">
        <f>+VLOOKUP(A16,'4. Favorabilidad Geo-Minera'!$B$80:$E$114,4,0)</f>
        <v>44</v>
      </c>
      <c r="F16" s="180">
        <f>+VLOOKUP(A16,'5. Inserción mercado mundial'!$B$3:$P$37,15,0)</f>
        <v>30</v>
      </c>
      <c r="G16" s="49">
        <f>+VLOOKUP(A16,'6. Seguridad y Sob. Nacional'!$B$4:$C$38,2,0)</f>
        <v>0</v>
      </c>
      <c r="H16" s="179">
        <f>VLOOKUP(A16,'7. Determinantes ambientales '!$B$4:$C$38,2,0)</f>
        <v>50.319305135417224</v>
      </c>
      <c r="I16" s="49">
        <f>VLOOKUP(A16,'8. Potencial de Inserción '!$B$3:$D$37,3,0)</f>
        <v>40</v>
      </c>
      <c r="J16" s="177">
        <f t="shared" si="2"/>
        <v>40.631930513541718</v>
      </c>
      <c r="K16" s="178">
        <f t="shared" si="0"/>
        <v>45</v>
      </c>
      <c r="L16" s="50" t="str">
        <f t="shared" si="1"/>
        <v>Estratégico</v>
      </c>
    </row>
    <row r="17" spans="1:12" ht="14.45">
      <c r="A17" s="245" t="s">
        <v>33</v>
      </c>
      <c r="B17" s="49">
        <f>+VLOOKUP(A17,'1. Seguridad de las cadenas de '!$B$5:$AK$39,36,0)</f>
        <v>30</v>
      </c>
      <c r="C17" s="49">
        <f>+VLOOKUP(A17,'2. Importancia econ y comercial'!$B$5:$AJ$39,35,0)</f>
        <v>46</v>
      </c>
      <c r="D17" s="49">
        <f>+VLOOKUP(A17,'3. Función productiva, industr'!$B$13:$N$47,13,0)</f>
        <v>90</v>
      </c>
      <c r="E17" s="49">
        <f>+VLOOKUP(A17,'4. Favorabilidad Geo-Minera'!$B$80:$E$114,4,0)</f>
        <v>44</v>
      </c>
      <c r="F17" s="180">
        <f>+VLOOKUP(A17,'5. Inserción mercado mundial'!$B$3:$P$37,15,0)</f>
        <v>65</v>
      </c>
      <c r="G17" s="49">
        <f>+VLOOKUP(A17,'6. Seguridad y Sob. Nacional'!$B$4:$C$38,2,0)</f>
        <v>0</v>
      </c>
      <c r="H17" s="179">
        <f>VLOOKUP(A17,'7. Determinantes ambientales '!$B$4:$C$38,2,0)</f>
        <v>64.999999999999986</v>
      </c>
      <c r="I17" s="49">
        <f>VLOOKUP(A17,'8. Potencial de Inserción '!$B$3:$D$37,3,0)</f>
        <v>60</v>
      </c>
      <c r="J17" s="177">
        <f t="shared" si="2"/>
        <v>59.3</v>
      </c>
      <c r="K17" s="178">
        <f t="shared" si="0"/>
        <v>53</v>
      </c>
      <c r="L17" s="50" t="str">
        <f t="shared" si="1"/>
        <v>Estratégico</v>
      </c>
    </row>
    <row r="18" spans="1:12" ht="14.45">
      <c r="A18" s="245" t="s">
        <v>34</v>
      </c>
      <c r="B18" s="49">
        <f>+VLOOKUP(A18,'1. Seguridad de las cadenas de '!$B$5:$AK$39,36,0)</f>
        <v>90</v>
      </c>
      <c r="C18" s="49">
        <f>+VLOOKUP(A18,'2. Importancia econ y comercial'!$B$5:$AJ$39,35,0)</f>
        <v>84</v>
      </c>
      <c r="D18" s="49">
        <f>+VLOOKUP(A18,'3. Función productiva, industr'!$B$13:$N$47,13,0)</f>
        <v>90</v>
      </c>
      <c r="E18" s="49">
        <f>+VLOOKUP(A18,'4. Favorabilidad Geo-Minera'!$B$80:$E$114,4,0)</f>
        <v>92</v>
      </c>
      <c r="F18" s="180">
        <f>+VLOOKUP(A18,'5. Inserción mercado mundial'!$B$3:$P$37,15,0)</f>
        <v>75</v>
      </c>
      <c r="G18" s="49">
        <f>+VLOOKUP(A18,'6. Seguridad y Sob. Nacional'!$B$4:$C$38,2,0)</f>
        <v>0</v>
      </c>
      <c r="H18" s="179">
        <f>VLOOKUP(A18,'7. Determinantes ambientales '!$B$4:$C$38,2,0)</f>
        <v>60.638297872340431</v>
      </c>
      <c r="I18" s="49">
        <f>VLOOKUP(A18,'8. Potencial de Inserción '!$B$3:$D$37,3,0)</f>
        <v>40</v>
      </c>
      <c r="J18" s="177">
        <f t="shared" si="2"/>
        <v>71.063829787234042</v>
      </c>
      <c r="K18" s="178">
        <f t="shared" si="0"/>
        <v>69</v>
      </c>
      <c r="L18" s="50" t="str">
        <f t="shared" si="1"/>
        <v>Estratégico</v>
      </c>
    </row>
    <row r="19" spans="1:12" ht="14.45">
      <c r="A19" s="245" t="s">
        <v>35</v>
      </c>
      <c r="B19" s="49">
        <f>+VLOOKUP(A19,'1. Seguridad de las cadenas de '!$B$5:$AK$39,36,0)</f>
        <v>20</v>
      </c>
      <c r="C19" s="49">
        <f>+VLOOKUP(A19,'2. Importancia econ y comercial'!$B$5:$AJ$39,35,0)</f>
        <v>0</v>
      </c>
      <c r="D19" s="49">
        <f>+VLOOKUP(A19,'3. Función productiva, industr'!$B$13:$N$47,13,0)</f>
        <v>70</v>
      </c>
      <c r="E19" s="49">
        <f>+VLOOKUP(A19,'4. Favorabilidad Geo-Minera'!$B$80:$E$114,4,0)</f>
        <v>32</v>
      </c>
      <c r="F19" s="180">
        <f>+VLOOKUP(A19,'5. Inserción mercado mundial'!$B$3:$P$37,15,0)</f>
        <v>85</v>
      </c>
      <c r="G19" s="49">
        <f>+VLOOKUP(A19,'6. Seguridad y Sob. Nacional'!$B$4:$C$38,2,0)</f>
        <v>0</v>
      </c>
      <c r="H19" s="179">
        <f>VLOOKUP(A19,'7. Determinantes ambientales '!$B$4:$C$38,2,0)</f>
        <v>43.060606203903802</v>
      </c>
      <c r="I19" s="49">
        <f>VLOOKUP(A19,'8. Potencial de Inserción '!$B$3:$D$37,3,0)</f>
        <v>60</v>
      </c>
      <c r="J19" s="177">
        <f t="shared" si="2"/>
        <v>41.406060620390384</v>
      </c>
      <c r="K19" s="178">
        <f t="shared" si="0"/>
        <v>58</v>
      </c>
      <c r="L19" s="50" t="str">
        <f t="shared" si="1"/>
        <v>Estratégico</v>
      </c>
    </row>
    <row r="20" spans="1:12" ht="14.45">
      <c r="A20" s="245" t="s">
        <v>36</v>
      </c>
      <c r="B20" s="49">
        <f>+VLOOKUP(A20,'1. Seguridad de las cadenas de '!$B$5:$AK$39,36,0)</f>
        <v>60</v>
      </c>
      <c r="C20" s="49">
        <f>+VLOOKUP(A20,'2. Importancia econ y comercial'!$B$5:$AJ$39,35,0)</f>
        <v>54</v>
      </c>
      <c r="D20" s="49">
        <f>+VLOOKUP(A20,'3. Función productiva, industr'!$B$13:$N$47,13,0)</f>
        <v>90</v>
      </c>
      <c r="E20" s="49">
        <f>+VLOOKUP(A20,'4. Favorabilidad Geo-Minera'!$B$80:$E$114,4,0)</f>
        <v>84</v>
      </c>
      <c r="F20" s="180">
        <f>+VLOOKUP(A20,'5. Inserción mercado mundial'!$B$3:$P$37,15,0)</f>
        <v>45</v>
      </c>
      <c r="G20" s="49">
        <f>+VLOOKUP(A20,'6. Seguridad y Sob. Nacional'!$B$4:$C$38,2,0)</f>
        <v>0</v>
      </c>
      <c r="H20" s="179">
        <f>VLOOKUP(A20,'7. Determinantes ambientales '!$B$4:$C$38,2,0)</f>
        <v>100</v>
      </c>
      <c r="I20" s="49">
        <f>VLOOKUP(A20,'8. Potencial de Inserción '!$B$3:$D$37,3,0)</f>
        <v>40</v>
      </c>
      <c r="J20" s="177">
        <f t="shared" si="2"/>
        <v>70.599999999999994</v>
      </c>
      <c r="K20" s="178">
        <f t="shared" si="0"/>
        <v>48</v>
      </c>
      <c r="L20" s="50" t="str">
        <f t="shared" si="1"/>
        <v>Estratégico</v>
      </c>
    </row>
    <row r="21" spans="1:12" ht="14.45">
      <c r="A21" s="245" t="s">
        <v>37</v>
      </c>
      <c r="B21" s="49">
        <f>+VLOOKUP(A21,'1. Seguridad de las cadenas de '!$B$5:$AK$39,36,0)</f>
        <v>50</v>
      </c>
      <c r="C21" s="49">
        <f>+VLOOKUP(A21,'2. Importancia econ y comercial'!$B$5:$AJ$39,35,0)</f>
        <v>24</v>
      </c>
      <c r="D21" s="49">
        <f>+VLOOKUP(A21,'3. Función productiva, industr'!$B$13:$N$47,13,0)</f>
        <v>60</v>
      </c>
      <c r="E21" s="49">
        <f>+VLOOKUP(A21,'4. Favorabilidad Geo-Minera'!$B$80:$E$114,4,0)</f>
        <v>36</v>
      </c>
      <c r="F21" s="180">
        <f>+VLOOKUP(A21,'5. Inserción mercado mundial'!$B$3:$P$37,15,0)</f>
        <v>50</v>
      </c>
      <c r="G21" s="49">
        <f>+VLOOKUP(A21,'6. Seguridad y Sob. Nacional'!$B$4:$C$38,2,0)</f>
        <v>0</v>
      </c>
      <c r="H21" s="179">
        <f>VLOOKUP(A21,'7. Determinantes ambientales '!$B$4:$C$38,2,0)</f>
        <v>78.571428571428569</v>
      </c>
      <c r="I21" s="49">
        <f>VLOOKUP(A21,'8. Potencial de Inserción '!$B$3:$D$37,3,0)</f>
        <v>100</v>
      </c>
      <c r="J21" s="177">
        <f t="shared" si="2"/>
        <v>43.55714285714285</v>
      </c>
      <c r="K21" s="178">
        <f t="shared" si="0"/>
        <v>65</v>
      </c>
      <c r="L21" s="50" t="str">
        <f t="shared" si="1"/>
        <v>Estratégico</v>
      </c>
    </row>
    <row r="22" spans="1:12" ht="14.45">
      <c r="A22" s="245" t="s">
        <v>379</v>
      </c>
      <c r="B22" s="49">
        <f>+VLOOKUP(A22,'1. Seguridad de las cadenas de '!$B$5:$AK$39,36,0)</f>
        <v>100</v>
      </c>
      <c r="C22" s="49">
        <f>+VLOOKUP(A22,'2. Importancia econ y comercial'!$B$5:$AJ$39,35,0)</f>
        <v>92</v>
      </c>
      <c r="D22" s="49">
        <f>+VLOOKUP(A22,'3. Función productiva, industr'!$B$13:$N$47,13,0)</f>
        <v>0</v>
      </c>
      <c r="E22" s="49">
        <f>+VLOOKUP(A22,'4. Favorabilidad Geo-Minera'!$B$80:$E$114,4,0)</f>
        <v>100</v>
      </c>
      <c r="F22" s="180">
        <f>+VLOOKUP(A22,'5. Inserción mercado mundial'!$B$3:$P$37,15,0)</f>
        <v>60</v>
      </c>
      <c r="G22" s="49">
        <f>+VLOOKUP(A22,'6. Seguridad y Sob. Nacional'!$B$4:$C$38,2,0)</f>
        <v>0</v>
      </c>
      <c r="H22" s="179">
        <f>VLOOKUP(A22,'7. Determinantes ambientales '!$B$4:$C$38,2,0)</f>
        <v>54.355121750381443</v>
      </c>
      <c r="I22" s="49">
        <f>VLOOKUP(A22,'8. Potencial de Inserción '!$B$3:$D$37,3,0)</f>
        <v>80</v>
      </c>
      <c r="J22" s="177">
        <f t="shared" si="2"/>
        <v>32.135512175038144</v>
      </c>
      <c r="K22" s="178">
        <f t="shared" si="0"/>
        <v>78</v>
      </c>
      <c r="L22" s="50" t="str">
        <f t="shared" si="1"/>
        <v>No estratégico</v>
      </c>
    </row>
    <row r="23" spans="1:12" ht="14.45">
      <c r="A23" s="245" t="s">
        <v>191</v>
      </c>
      <c r="B23" s="49">
        <f>+VLOOKUP(A23,'1. Seguridad de las cadenas de '!$B$5:$AK$39,36,0)</f>
        <v>40</v>
      </c>
      <c r="C23" s="49">
        <f>+VLOOKUP(A23,'2. Importancia econ y comercial'!$B$5:$AJ$39,35,0)</f>
        <v>78</v>
      </c>
      <c r="D23" s="49">
        <f>+VLOOKUP(A23,'3. Función productiva, industr'!$B$13:$N$47,13,0)</f>
        <v>40</v>
      </c>
      <c r="E23" s="49">
        <f>+VLOOKUP(A23,'4. Favorabilidad Geo-Minera'!$B$80:$E$114,4,0)</f>
        <v>92</v>
      </c>
      <c r="F23" s="180">
        <f>+VLOOKUP(A23,'5. Inserción mercado mundial'!$B$3:$P$37,15,0)</f>
        <v>45</v>
      </c>
      <c r="G23" s="49">
        <f>+VLOOKUP(A23,'6. Seguridad y Sob. Nacional'!$B$4:$C$38,2,0)</f>
        <v>50</v>
      </c>
      <c r="H23" s="179">
        <f>VLOOKUP(A23,'7. Determinantes ambientales '!$B$4:$C$38,2,0)</f>
        <v>73.381294964028783</v>
      </c>
      <c r="I23" s="49">
        <f>VLOOKUP(A23,'8. Potencial de Inserción '!$B$3:$D$37,3,0)</f>
        <v>100</v>
      </c>
      <c r="J23" s="177">
        <f t="shared" si="2"/>
        <v>57.988129496402877</v>
      </c>
      <c r="K23" s="178">
        <f t="shared" si="0"/>
        <v>60</v>
      </c>
      <c r="L23" s="50" t="str">
        <f t="shared" si="1"/>
        <v>Estratégico</v>
      </c>
    </row>
    <row r="24" spans="1:12" ht="14.45">
      <c r="A24" s="245" t="s">
        <v>40</v>
      </c>
      <c r="B24" s="49">
        <f>+VLOOKUP(A24,'1. Seguridad de las cadenas de '!$B$5:$AK$39,36,0)</f>
        <v>0</v>
      </c>
      <c r="C24" s="49">
        <f>+VLOOKUP(A24,'2. Importancia econ y comercial'!$B$5:$AJ$39,35,0)</f>
        <v>0</v>
      </c>
      <c r="D24" s="49">
        <f>+VLOOKUP(A24,'3. Función productiva, industr'!$B$13:$N$47,13,0)</f>
        <v>70</v>
      </c>
      <c r="E24" s="49">
        <f>+VLOOKUP(A24,'4. Favorabilidad Geo-Minera'!$B$80:$E$114,4,0)</f>
        <v>72</v>
      </c>
      <c r="F24" s="180">
        <f>+VLOOKUP(A24,'5. Inserción mercado mundial'!$B$3:$P$37,15,0)</f>
        <v>85</v>
      </c>
      <c r="G24" s="49">
        <f>+VLOOKUP(A24,'6. Seguridad y Sob. Nacional'!$B$4:$C$38,2,0)</f>
        <v>0</v>
      </c>
      <c r="H24" s="179">
        <f>VLOOKUP(A24,'7. Determinantes ambientales '!$B$4:$C$38,2,0)</f>
        <v>50</v>
      </c>
      <c r="I24" s="49">
        <f>VLOOKUP(A24,'8. Potencial de Inserción '!$B$3:$D$37,3,0)</f>
        <v>80</v>
      </c>
      <c r="J24" s="177">
        <f t="shared" si="2"/>
        <v>49.1</v>
      </c>
      <c r="K24" s="178">
        <f t="shared" si="0"/>
        <v>58</v>
      </c>
      <c r="L24" s="50" t="str">
        <f t="shared" si="1"/>
        <v>Estratégico</v>
      </c>
    </row>
    <row r="25" spans="1:12" ht="14.45">
      <c r="A25" s="245" t="s">
        <v>41</v>
      </c>
      <c r="B25" s="49">
        <f>+VLOOKUP(A25,'1. Seguridad de las cadenas de '!$B$5:$AK$39,36,0)</f>
        <v>70</v>
      </c>
      <c r="C25" s="49">
        <f>+VLOOKUP(A25,'2. Importancia econ y comercial'!$B$5:$AJ$39,35,0)</f>
        <v>46</v>
      </c>
      <c r="D25" s="49">
        <f>+VLOOKUP(A25,'3. Función productiva, industr'!$B$13:$N$47,13,0)</f>
        <v>60</v>
      </c>
      <c r="E25" s="49">
        <f>+VLOOKUP(A25,'4. Favorabilidad Geo-Minera'!$B$80:$E$114,4,0)</f>
        <v>60</v>
      </c>
      <c r="F25" s="180">
        <f>+VLOOKUP(A25,'5. Inserción mercado mundial'!$B$3:$P$37,15,0)</f>
        <v>60</v>
      </c>
      <c r="G25" s="49">
        <f>+VLOOKUP(A25,'6. Seguridad y Sob. Nacional'!$B$4:$C$38,2,0)</f>
        <v>100</v>
      </c>
      <c r="H25" s="179">
        <f>VLOOKUP(A25,'7. Determinantes ambientales '!$B$4:$C$38,2,0)</f>
        <v>63.636363636363633</v>
      </c>
      <c r="I25" s="49">
        <f>VLOOKUP(A25,'8. Potencial de Inserción '!$B$3:$D$37,3,0)</f>
        <v>20</v>
      </c>
      <c r="J25" s="177">
        <f t="shared" si="2"/>
        <v>65.963636363636368</v>
      </c>
      <c r="K25" s="178">
        <f t="shared" si="0"/>
        <v>51</v>
      </c>
      <c r="L25" s="50" t="str">
        <f t="shared" si="1"/>
        <v>Estratégico</v>
      </c>
    </row>
    <row r="26" spans="1:12" ht="14.45">
      <c r="A26" s="245" t="s">
        <v>42</v>
      </c>
      <c r="B26" s="49">
        <f>+VLOOKUP(A26,'1. Seguridad de las cadenas de '!$B$5:$AK$39,36,0)</f>
        <v>90</v>
      </c>
      <c r="C26" s="49">
        <f>+VLOOKUP(A26,'2. Importancia econ y comercial'!$B$5:$AJ$39,35,0)</f>
        <v>86</v>
      </c>
      <c r="D26" s="49">
        <f>+VLOOKUP(A26,'3. Función productiva, industr'!$B$13:$N$47,13,0)</f>
        <v>70</v>
      </c>
      <c r="E26" s="49">
        <f>+VLOOKUP(A26,'4. Favorabilidad Geo-Minera'!$B$80:$E$114,4,0)</f>
        <v>100</v>
      </c>
      <c r="F26" s="180">
        <f>+VLOOKUP(A26,'5. Inserción mercado mundial'!$B$3:$P$37,15,0)</f>
        <v>85</v>
      </c>
      <c r="G26" s="49">
        <f>+VLOOKUP(A26,'6. Seguridad y Sob. Nacional'!$B$4:$C$38,2,0)</f>
        <v>0</v>
      </c>
      <c r="H26" s="179">
        <f>VLOOKUP(A26,'7. Determinantes ambientales '!$B$4:$C$38,2,0)</f>
        <v>94.444444444444443</v>
      </c>
      <c r="I26" s="49">
        <f>VLOOKUP(A26,'8. Potencial de Inserción '!$B$3:$D$37,3,0)</f>
        <v>100</v>
      </c>
      <c r="J26" s="177">
        <f t="shared" si="2"/>
        <v>67.044444444444451</v>
      </c>
      <c r="K26" s="178">
        <f t="shared" si="0"/>
        <v>91</v>
      </c>
      <c r="L26" s="50" t="str">
        <f t="shared" si="1"/>
        <v>Estratégico</v>
      </c>
    </row>
    <row r="27" spans="1:12" ht="14.45">
      <c r="A27" s="245" t="s">
        <v>43</v>
      </c>
      <c r="B27" s="49">
        <f>+VLOOKUP(A27,'1. Seguridad de las cadenas de '!$B$5:$AK$39,36,0)</f>
        <v>100</v>
      </c>
      <c r="C27" s="49">
        <f>+VLOOKUP(A27,'2. Importancia econ y comercial'!$B$5:$AJ$39,35,0)</f>
        <v>92</v>
      </c>
      <c r="D27" s="49">
        <f>+VLOOKUP(A27,'3. Función productiva, industr'!$B$13:$N$47,13,0)</f>
        <v>50</v>
      </c>
      <c r="E27" s="49">
        <f>+VLOOKUP(A27,'4. Favorabilidad Geo-Minera'!$B$80:$E$114,4,0)</f>
        <v>100</v>
      </c>
      <c r="F27" s="180">
        <f>+VLOOKUP(A27,'5. Inserción mercado mundial'!$B$3:$P$37,15,0)</f>
        <v>95</v>
      </c>
      <c r="G27" s="49">
        <f>+VLOOKUP(A27,'6. Seguridad y Sob. Nacional'!$B$4:$C$38,2,0)</f>
        <v>100</v>
      </c>
      <c r="H27" s="179">
        <f>VLOOKUP(A27,'7. Determinantes ambientales '!$B$4:$C$38,2,0)</f>
        <v>62.017804154302667</v>
      </c>
      <c r="I27" s="49">
        <f>VLOOKUP(A27,'8. Potencial de Inserción '!$B$3:$D$37,3,0)</f>
        <v>20</v>
      </c>
      <c r="J27" s="177">
        <f t="shared" si="2"/>
        <v>72.901780415430267</v>
      </c>
      <c r="K27" s="178">
        <f t="shared" si="0"/>
        <v>74</v>
      </c>
      <c r="L27" s="50" t="str">
        <f t="shared" si="1"/>
        <v>Estratégico</v>
      </c>
    </row>
    <row r="28" spans="1:12" ht="14.45">
      <c r="A28" s="245" t="s">
        <v>44</v>
      </c>
      <c r="B28" s="49">
        <f>+VLOOKUP(A28,'1. Seguridad de las cadenas de '!$B$5:$AK$39,36,0)</f>
        <v>80</v>
      </c>
      <c r="C28" s="49">
        <f>+VLOOKUP(A28,'2. Importancia econ y comercial'!$B$5:$AJ$39,35,0)</f>
        <v>78</v>
      </c>
      <c r="D28" s="49">
        <f>+VLOOKUP(A28,'3. Función productiva, industr'!$B$13:$N$47,13,0)</f>
        <v>70</v>
      </c>
      <c r="E28" s="49">
        <f>+VLOOKUP(A28,'4. Favorabilidad Geo-Minera'!$B$80:$E$114,4,0)</f>
        <v>100</v>
      </c>
      <c r="F28" s="180">
        <f>+VLOOKUP(A28,'5. Inserción mercado mundial'!$B$3:$P$37,15,0)</f>
        <v>90</v>
      </c>
      <c r="G28" s="49">
        <f>+VLOOKUP(A28,'6. Seguridad y Sob. Nacional'!$B$4:$C$38,2,0)</f>
        <v>50</v>
      </c>
      <c r="H28" s="179">
        <f>VLOOKUP(A28,'7. Determinantes ambientales '!$B$4:$C$38,2,0)</f>
        <v>87.5</v>
      </c>
      <c r="I28" s="49">
        <f>VLOOKUP(A28,'8. Potencial de Inserción '!$B$3:$D$37,3,0)</f>
        <v>80</v>
      </c>
      <c r="J28" s="177">
        <f t="shared" si="2"/>
        <v>74.3</v>
      </c>
      <c r="K28" s="178">
        <f t="shared" si="0"/>
        <v>84</v>
      </c>
      <c r="L28" s="50" t="str">
        <f t="shared" si="1"/>
        <v>Estratégico</v>
      </c>
    </row>
    <row r="29" spans="1:12" ht="14.45">
      <c r="A29" s="245" t="s">
        <v>45</v>
      </c>
      <c r="B29" s="49">
        <f>+VLOOKUP(A29,'1. Seguridad de las cadenas de '!$B$5:$AK$39,36,0)</f>
        <v>50</v>
      </c>
      <c r="C29" s="49">
        <f>+VLOOKUP(A29,'2. Importancia econ y comercial'!$B$5:$AJ$39,35,0)</f>
        <v>24</v>
      </c>
      <c r="D29" s="49">
        <f>+VLOOKUP(A29,'3. Función productiva, industr'!$B$13:$N$47,13,0)</f>
        <v>40</v>
      </c>
      <c r="E29" s="49">
        <f>+VLOOKUP(A29,'4. Favorabilidad Geo-Minera'!$B$80:$E$114,4,0)</f>
        <v>56</v>
      </c>
      <c r="F29" s="180">
        <f>+VLOOKUP(A29,'5. Inserción mercado mundial'!$B$3:$P$37,15,0)</f>
        <v>85</v>
      </c>
      <c r="G29" s="49">
        <f>+VLOOKUP(A29,'6. Seguridad y Sob. Nacional'!$B$4:$C$38,2,0)</f>
        <v>0</v>
      </c>
      <c r="H29" s="179">
        <f>VLOOKUP(A29,'7. Determinantes ambientales '!$B$4:$C$38,2,0)</f>
        <v>71.15384615384616</v>
      </c>
      <c r="I29" s="49">
        <f>VLOOKUP(A29,'8. Potencial de Inserción '!$B$3:$D$37,3,0)</f>
        <v>20</v>
      </c>
      <c r="J29" s="177">
        <f t="shared" si="2"/>
        <v>37.315384615384616</v>
      </c>
      <c r="K29" s="178">
        <f t="shared" si="0"/>
        <v>55</v>
      </c>
      <c r="L29" s="50" t="str">
        <f t="shared" si="1"/>
        <v>No estratégico</v>
      </c>
    </row>
    <row r="30" spans="1:12" ht="14.45">
      <c r="A30" s="245" t="s">
        <v>46</v>
      </c>
      <c r="B30" s="49">
        <f>+VLOOKUP(A30,'1. Seguridad de las cadenas de '!$B$5:$AK$39,36,0)</f>
        <v>60</v>
      </c>
      <c r="C30" s="49">
        <f>+VLOOKUP(A30,'2. Importancia econ y comercial'!$B$5:$AJ$39,35,0)</f>
        <v>0</v>
      </c>
      <c r="D30" s="49">
        <f>+VLOOKUP(A30,'3. Función productiva, industr'!$B$13:$N$47,13,0)</f>
        <v>80</v>
      </c>
      <c r="E30" s="49">
        <f>+VLOOKUP(A30,'4. Favorabilidad Geo-Minera'!$B$80:$E$114,4,0)</f>
        <v>40</v>
      </c>
      <c r="F30" s="180">
        <f>+VLOOKUP(A30,'5. Inserción mercado mundial'!$B$3:$P$37,15,0)</f>
        <v>60</v>
      </c>
      <c r="G30" s="49">
        <f>+VLOOKUP(A30,'6. Seguridad y Sob. Nacional'!$B$4:$C$38,2,0)</f>
        <v>0</v>
      </c>
      <c r="H30" s="179">
        <f>VLOOKUP(A30,'7. Determinantes ambientales '!$B$4:$C$38,2,0)</f>
        <v>31.058789225403526</v>
      </c>
      <c r="I30" s="49">
        <f>VLOOKUP(A30,'8. Potencial de Inserción '!$B$3:$D$37,3,0)</f>
        <v>60</v>
      </c>
      <c r="J30" s="177">
        <f t="shared" si="2"/>
        <v>46.105878922540356</v>
      </c>
      <c r="K30" s="178">
        <f t="shared" si="0"/>
        <v>60</v>
      </c>
      <c r="L30" s="50" t="str">
        <f t="shared" si="1"/>
        <v>Estratégico</v>
      </c>
    </row>
    <row r="31" spans="1:12" ht="14.45">
      <c r="A31" s="245" t="s">
        <v>47</v>
      </c>
      <c r="B31" s="49">
        <f>+VLOOKUP(A31,'1. Seguridad de las cadenas de '!$B$5:$AK$39,36,0)</f>
        <v>60</v>
      </c>
      <c r="C31" s="49">
        <f>+VLOOKUP(A31,'2. Importancia econ y comercial'!$B$5:$AJ$39,35,0)</f>
        <v>54</v>
      </c>
      <c r="D31" s="49">
        <f>+VLOOKUP(A31,'3. Función productiva, industr'!$B$13:$N$47,13,0)</f>
        <v>90</v>
      </c>
      <c r="E31" s="49">
        <f>+VLOOKUP(A31,'4. Favorabilidad Geo-Minera'!$B$80:$E$114,4,0)</f>
        <v>100</v>
      </c>
      <c r="F31" s="180">
        <f>+VLOOKUP(A31,'5. Inserción mercado mundial'!$B$3:$P$37,15,0)</f>
        <v>65</v>
      </c>
      <c r="G31" s="49">
        <f>+VLOOKUP(A31,'6. Seguridad y Sob. Nacional'!$B$4:$C$38,2,0)</f>
        <v>0</v>
      </c>
      <c r="H31" s="179">
        <f>VLOOKUP(A31,'7. Determinantes ambientales '!$B$4:$C$38,2,0)</f>
        <v>77.222222222222214</v>
      </c>
      <c r="I31" s="49">
        <f>VLOOKUP(A31,'8. Potencial de Inserción '!$B$3:$D$37,3,0)</f>
        <v>40</v>
      </c>
      <c r="J31" s="177">
        <f t="shared" si="2"/>
        <v>71.12222222222222</v>
      </c>
      <c r="K31" s="178">
        <f t="shared" si="0"/>
        <v>56</v>
      </c>
      <c r="L31" s="50" t="str">
        <f t="shared" si="1"/>
        <v>Estratégico</v>
      </c>
    </row>
    <row r="32" spans="1:12" ht="14.45">
      <c r="A32" s="245" t="s">
        <v>48</v>
      </c>
      <c r="B32" s="49">
        <f>+VLOOKUP(A32,'1. Seguridad de las cadenas de '!$B$5:$AK$39,36,0)</f>
        <v>40</v>
      </c>
      <c r="C32" s="49">
        <f>+VLOOKUP(A32,'2. Importancia econ y comercial'!$B$5:$AJ$39,35,0)</f>
        <v>6</v>
      </c>
      <c r="D32" s="49">
        <f>+VLOOKUP(A32,'3. Función productiva, industr'!$B$13:$N$47,13,0)</f>
        <v>50</v>
      </c>
      <c r="E32" s="49">
        <f>+VLOOKUP(A32,'4. Favorabilidad Geo-Minera'!$B$80:$E$114,4,0)</f>
        <v>80</v>
      </c>
      <c r="F32" s="180">
        <f>+VLOOKUP(A32,'5. Inserción mercado mundial'!$B$3:$P$37,15,0)</f>
        <v>20</v>
      </c>
      <c r="G32" s="49">
        <f>+VLOOKUP(A32,'6. Seguridad y Sob. Nacional'!$B$4:$C$38,2,0)</f>
        <v>0</v>
      </c>
      <c r="H32" s="179">
        <f>VLOOKUP(A32,'7. Determinantes ambientales '!$B$4:$C$38,2,0)</f>
        <v>33.333333333333329</v>
      </c>
      <c r="I32" s="49">
        <f>VLOOKUP(A32,'8. Potencial de Inserción '!$B$3:$D$37,3,0)</f>
        <v>80</v>
      </c>
      <c r="J32" s="177">
        <f t="shared" si="2"/>
        <v>40.433333333333337</v>
      </c>
      <c r="K32" s="178">
        <f>+(B32*$B$2)+(F32*$F$2)+(I32*$I$2)</f>
        <v>44</v>
      </c>
      <c r="L32" s="50" t="str">
        <f t="shared" si="1"/>
        <v>No estratégico</v>
      </c>
    </row>
    <row r="33" spans="1:12" ht="14.45">
      <c r="A33" s="245" t="s">
        <v>49</v>
      </c>
      <c r="B33" s="49">
        <f>+VLOOKUP(A33,'1. Seguridad de las cadenas de '!$B$5:$AK$39,36,0)</f>
        <v>30</v>
      </c>
      <c r="C33" s="49">
        <f>+VLOOKUP(A33,'2. Importancia econ y comercial'!$B$5:$AJ$39,35,0)</f>
        <v>46</v>
      </c>
      <c r="D33" s="49">
        <f>+VLOOKUP(A33,'3. Función productiva, industr'!$B$13:$N$47,13,0)</f>
        <v>90</v>
      </c>
      <c r="E33" s="49">
        <f>+VLOOKUP(A33,'4. Favorabilidad Geo-Minera'!$B$80:$E$114,4,0)</f>
        <v>36</v>
      </c>
      <c r="F33" s="180">
        <f>+VLOOKUP(A33,'5. Inserción mercado mundial'!$B$3:$P$37,15,0)</f>
        <v>55</v>
      </c>
      <c r="G33" s="49">
        <f>+VLOOKUP(A33,'6. Seguridad y Sob. Nacional'!$B$4:$C$38,2,0)</f>
        <v>0</v>
      </c>
      <c r="H33" s="179">
        <f>VLOOKUP(A33,'7. Determinantes ambientales '!$B$4:$C$38,2,0)</f>
        <v>0</v>
      </c>
      <c r="I33" s="49">
        <f>VLOOKUP(A33,'8. Potencial de Inserción '!$B$3:$D$37,3,0)</f>
        <v>100</v>
      </c>
      <c r="J33" s="177">
        <f t="shared" si="2"/>
        <v>51.4</v>
      </c>
      <c r="K33" s="178">
        <f t="shared" si="0"/>
        <v>61</v>
      </c>
      <c r="L33" s="50" t="str">
        <f t="shared" si="1"/>
        <v>Estratégico</v>
      </c>
    </row>
    <row r="34" spans="1:12" ht="14.45">
      <c r="A34" s="245" t="s">
        <v>50</v>
      </c>
      <c r="B34" s="49">
        <f>+VLOOKUP(A34,'1. Seguridad de las cadenas de '!$B$5:$AK$39,36,0)</f>
        <v>0</v>
      </c>
      <c r="C34" s="49">
        <f>+VLOOKUP(A34,'2. Importancia econ y comercial'!$B$5:$AJ$39,35,0)</f>
        <v>0</v>
      </c>
      <c r="D34" s="49">
        <f>+VLOOKUP(A34,'3. Función productiva, industr'!$B$13:$N$47,13,0)</f>
        <v>60</v>
      </c>
      <c r="E34" s="49">
        <f>+VLOOKUP(A34,'4. Favorabilidad Geo-Minera'!$B$80:$E$114,4,0)</f>
        <v>44</v>
      </c>
      <c r="F34" s="180">
        <f>+VLOOKUP(A34,'5. Inserción mercado mundial'!$B$3:$P$37,15,0)</f>
        <v>55</v>
      </c>
      <c r="G34" s="49">
        <f>+VLOOKUP(A34,'6. Seguridad y Sob. Nacional'!$B$4:$C$38,2,0)</f>
        <v>0</v>
      </c>
      <c r="H34" s="179">
        <f>VLOOKUP(A34,'7. Determinantes ambientales '!$B$4:$C$38,2,0)</f>
        <v>35.714285714285708</v>
      </c>
      <c r="I34" s="49">
        <f>VLOOKUP(A34,'8. Potencial de Inserción '!$B$3:$D$37,3,0)</f>
        <v>80</v>
      </c>
      <c r="J34" s="177">
        <f>+(C34*$C$2)+(D34*$D$2)+(E34*$E$2)+(G34*$G$2)+(H34*$H$2)</f>
        <v>38.271428571428572</v>
      </c>
      <c r="K34" s="178">
        <f>+(B34*$B$2)+(F34*$F$2)+(I34*$I$2)</f>
        <v>46</v>
      </c>
      <c r="L34" s="50" t="str">
        <f t="shared" si="1"/>
        <v>Estratégico</v>
      </c>
    </row>
    <row r="35" spans="1:12" ht="14.45">
      <c r="A35" s="245" t="s">
        <v>51</v>
      </c>
      <c r="B35" s="49">
        <f>+VLOOKUP(A35,'1. Seguridad de las cadenas de '!$B$5:$AK$39,36,0)</f>
        <v>50</v>
      </c>
      <c r="C35" s="49">
        <f>+VLOOKUP(A35,'2. Importancia econ y comercial'!$B$5:$AJ$39,35,0)</f>
        <v>22</v>
      </c>
      <c r="D35" s="49">
        <f>+VLOOKUP(A35,'3. Función productiva, industr'!$B$13:$N$47,13,0)</f>
        <v>90</v>
      </c>
      <c r="E35" s="49">
        <f>+VLOOKUP(A35,'4. Favorabilidad Geo-Minera'!$B$80:$E$114,4,0)</f>
        <v>48</v>
      </c>
      <c r="F35" s="180">
        <f>+VLOOKUP(A35,'5. Inserción mercado mundial'!$B$3:$P$37,15,0)</f>
        <v>55</v>
      </c>
      <c r="G35" s="49">
        <f>+VLOOKUP(A35,'6. Seguridad y Sob. Nacional'!$B$4:$C$38,2,0)</f>
        <v>0</v>
      </c>
      <c r="H35" s="179">
        <f>VLOOKUP(A35,'7. Determinantes ambientales '!$B$4:$C$38,2,0)</f>
        <v>0</v>
      </c>
      <c r="I35" s="49">
        <f>VLOOKUP(A35,'8. Potencial de Inserción '!$B$3:$D$37,3,0)</f>
        <v>100</v>
      </c>
      <c r="J35" s="177">
        <f t="shared" si="2"/>
        <v>51.1</v>
      </c>
      <c r="K35" s="178">
        <f t="shared" si="0"/>
        <v>67</v>
      </c>
      <c r="L35" s="50" t="str">
        <f t="shared" si="1"/>
        <v>Estratégico</v>
      </c>
    </row>
    <row r="36" spans="1:12" ht="14.45">
      <c r="A36" s="245" t="s">
        <v>52</v>
      </c>
      <c r="B36" s="49">
        <f>+VLOOKUP(A36,'1. Seguridad de las cadenas de '!$B$5:$AK$39,36,0)</f>
        <v>60</v>
      </c>
      <c r="C36" s="49">
        <f>+VLOOKUP(A36,'2. Importancia econ y comercial'!$B$5:$AJ$39,35,0)</f>
        <v>70</v>
      </c>
      <c r="D36" s="49">
        <f>+VLOOKUP(A36,'3. Función productiva, industr'!$B$13:$N$47,13,0)</f>
        <v>50</v>
      </c>
      <c r="E36" s="49">
        <f>+VLOOKUP(A36,'4. Favorabilidad Geo-Minera'!$B$80:$E$114,4,0)</f>
        <v>88</v>
      </c>
      <c r="F36" s="180">
        <f>+VLOOKUP(A36,'5. Inserción mercado mundial'!$B$3:$P$37,15,0)</f>
        <v>40</v>
      </c>
      <c r="G36" s="49">
        <f>+VLOOKUP(A36,'6. Seguridad y Sob. Nacional'!$B$4:$C$38,2,0)</f>
        <v>0</v>
      </c>
      <c r="H36" s="179">
        <f>VLOOKUP(A36,'7. Determinantes ambientales '!$B$4:$C$38,2,0)</f>
        <v>66.666666666666657</v>
      </c>
      <c r="I36" s="49">
        <f>VLOOKUP(A36,'8. Potencial de Inserción '!$B$3:$D$37,3,0)</f>
        <v>40</v>
      </c>
      <c r="J36" s="177">
        <f t="shared" si="2"/>
        <v>51.566666666666663</v>
      </c>
      <c r="K36" s="178">
        <f t="shared" si="0"/>
        <v>46</v>
      </c>
      <c r="L36" s="50" t="str">
        <f t="shared" si="1"/>
        <v>Estratégico</v>
      </c>
    </row>
    <row r="37" spans="1:12" ht="14.45">
      <c r="A37" s="245" t="s">
        <v>53</v>
      </c>
      <c r="B37" s="49">
        <f>+VLOOKUP(A37,'1. Seguridad de las cadenas de '!$B$5:$AK$39,36,0)</f>
        <v>0</v>
      </c>
      <c r="C37" s="49">
        <f>+VLOOKUP(A37,'2. Importancia econ y comercial'!$B$5:$AJ$39,35,0)</f>
        <v>0</v>
      </c>
      <c r="D37" s="49">
        <f>+VLOOKUP(A37,'3. Función productiva, industr'!$B$13:$N$47,13,0)</f>
        <v>20</v>
      </c>
      <c r="E37" s="49">
        <f>'4. Favorabilidad Geo-Minera'!E113</f>
        <v>12</v>
      </c>
      <c r="F37" s="180">
        <f>+VLOOKUP(A37,'5. Inserción mercado mundial'!$B$3:$P$37,15,0)</f>
        <v>25</v>
      </c>
      <c r="G37" s="49">
        <f>+VLOOKUP(A37,'6. Seguridad y Sob. Nacional'!$B$4:$C$38,2,0)</f>
        <v>0</v>
      </c>
      <c r="H37" s="179">
        <f>VLOOKUP(A37,'7. Determinantes ambientales '!$B$4:$C$38,2,0)</f>
        <v>0</v>
      </c>
      <c r="I37" s="49">
        <f>VLOOKUP(A37,'8. Potencial de Inserción '!$B$3:$D$37,3,0)</f>
        <v>100</v>
      </c>
      <c r="J37" s="177">
        <f t="shared" si="2"/>
        <v>11.1</v>
      </c>
      <c r="K37" s="178">
        <f t="shared" si="0"/>
        <v>40</v>
      </c>
      <c r="L37" s="50" t="str">
        <f t="shared" si="1"/>
        <v>No estratégico</v>
      </c>
    </row>
    <row r="38" spans="1:12" ht="14.45">
      <c r="A38" s="245" t="s">
        <v>54</v>
      </c>
      <c r="B38" s="49">
        <f>+VLOOKUP(A38,'1. Seguridad de las cadenas de '!$B$5:$AK$39,36,0)</f>
        <v>60</v>
      </c>
      <c r="C38" s="49">
        <f>+VLOOKUP(A38,'2. Importancia econ y comercial'!$B$5:$AJ$39,35,0)</f>
        <v>62</v>
      </c>
      <c r="D38" s="49">
        <f>+VLOOKUP(A38,'3. Función productiva, industr'!$B$13:$N$47,13,0)</f>
        <v>80</v>
      </c>
      <c r="E38" s="49">
        <f>+VLOOKUP(A38,'4. Favorabilidad Geo-Minera'!$B$80:$E$114,4,0)</f>
        <v>72</v>
      </c>
      <c r="F38" s="180">
        <f>+VLOOKUP(A38,'5. Inserción mercado mundial'!$B$3:$P$37,15,0)</f>
        <v>80</v>
      </c>
      <c r="G38" s="49">
        <f>+VLOOKUP(A38,'6. Seguridad y Sob. Nacional'!$B$4:$C$38,2,0)</f>
        <v>0</v>
      </c>
      <c r="H38" s="179">
        <f>VLOOKUP(A38,'7. Determinantes ambientales '!$B$4:$C$38,2,0)</f>
        <v>50</v>
      </c>
      <c r="I38" s="49">
        <f>VLOOKUP(A38,'8. Potencial de Inserción '!$B$3:$D$37,3,0)</f>
        <v>60</v>
      </c>
      <c r="J38" s="177">
        <f t="shared" si="2"/>
        <v>59.800000000000004</v>
      </c>
      <c r="K38" s="178">
        <f t="shared" si="0"/>
        <v>68</v>
      </c>
      <c r="L38" s="50" t="str">
        <f t="shared" si="1"/>
        <v>Estratégico</v>
      </c>
    </row>
    <row r="39" spans="1:12" ht="15" customHeight="1">
      <c r="F39" s="180"/>
    </row>
    <row r="40" spans="1:12" ht="15" customHeight="1">
      <c r="H40" s="185" t="s">
        <v>620</v>
      </c>
      <c r="I40" s="185"/>
      <c r="J40" s="181" t="s">
        <v>617</v>
      </c>
      <c r="K40" s="181" t="s">
        <v>618</v>
      </c>
    </row>
    <row r="41" spans="1:12" ht="15" customHeight="1">
      <c r="H41" s="184" t="s">
        <v>621</v>
      </c>
      <c r="I41" s="184"/>
      <c r="J41" s="19">
        <f>+AVERAGE(J4:J38)</f>
        <v>52.840414350182769</v>
      </c>
      <c r="K41" s="19">
        <f>+AVERAGE(K4:K38)</f>
        <v>57.771428571428572</v>
      </c>
    </row>
    <row r="42" spans="1:12" ht="15" customHeight="1">
      <c r="H42" s="184" t="s">
        <v>622</v>
      </c>
      <c r="I42" s="184"/>
      <c r="J42" s="19">
        <f>+_xlfn.STDEV.P(J4:J38)</f>
        <v>15.24021964730318</v>
      </c>
      <c r="K42" s="19">
        <f>+_xlfn.STDEV.P(K4:K38)</f>
        <v>13.294651371963118</v>
      </c>
    </row>
    <row r="43" spans="1:12" ht="15" customHeight="1">
      <c r="H43" s="184" t="s">
        <v>623</v>
      </c>
      <c r="I43" s="184"/>
      <c r="J43" s="19">
        <f>+J41-J42</f>
        <v>37.600194702879591</v>
      </c>
      <c r="K43" s="168">
        <f>+K41-K42</f>
        <v>44.476777199465452</v>
      </c>
    </row>
    <row r="44" spans="1:12" ht="15" customHeight="1">
      <c r="H44" s="184" t="s">
        <v>624</v>
      </c>
      <c r="I44" s="184"/>
      <c r="J44" s="19">
        <f>ROUNDUP(J41-J42,0)</f>
        <v>38</v>
      </c>
      <c r="K44" s="168">
        <f>ROUNDUP(K41-K42,0)</f>
        <v>45</v>
      </c>
    </row>
    <row r="45" spans="1:12" ht="15" customHeight="1">
      <c r="H45" s="184"/>
      <c r="I45" s="184"/>
    </row>
  </sheetData>
  <autoFilter ref="A3:L38" xr:uid="{5149EB71-EDCE-4F40-9BF0-033B66DBCA18}"/>
  <phoneticPr fontId="3" type="noConversion"/>
  <conditionalFormatting sqref="L4:L38">
    <cfRule type="cellIs" dxfId="1" priority="1" operator="greaterThan">
      <formula>"No estratégico"</formula>
    </cfRule>
    <cfRule type="cellIs" dxfId="0" priority="4" operator="equal">
      <formula>"Estratégico"</formula>
    </cfRule>
  </conditionalFormatting>
  <pageMargins left="0.7" right="0.7" top="0.75" bottom="0.75" header="0.3" footer="0.3"/>
  <headerFooter>
    <oddFooter>&amp;L_x000D_&amp;1#&amp;"Aptos"&amp;10&amp;K000000 Informacion publica</oddFooter>
  </headerFooter>
  <ignoredErrors>
    <ignoredError sqref="E3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119CF5127C07B429B003BD9C5404B91" ma:contentTypeVersion="22" ma:contentTypeDescription="Crear nuevo documento." ma:contentTypeScope="" ma:versionID="d86476e5f215e3f0acb64363e42f35e4">
  <xsd:schema xmlns:xsd="http://www.w3.org/2001/XMLSchema" xmlns:xs="http://www.w3.org/2001/XMLSchema" xmlns:p="http://schemas.microsoft.com/office/2006/metadata/properties" xmlns:ns2="ee9123fa-a0bd-4bd8-868e-9c476bc4c5ee" xmlns:ns3="9803b5ff-16e3-4935-814e-3e9e1f008f32" targetNamespace="http://schemas.microsoft.com/office/2006/metadata/properties" ma:root="true" ma:fieldsID="388f7fb5cc1dfb0527cb2c19164ed125" ns2:_="" ns3:_="">
    <xsd:import namespace="ee9123fa-a0bd-4bd8-868e-9c476bc4c5ee"/>
    <xsd:import namespace="9803b5ff-16e3-4935-814e-3e9e1f008f32"/>
    <xsd:element name="properties">
      <xsd:complexType>
        <xsd:sequence>
          <xsd:element name="documentManagement">
            <xsd:complexType>
              <xsd:all>
                <xsd:element ref="ns2:UBICACI_x00d3_N_x0020_FUID"/>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9123fa-a0bd-4bd8-868e-9c476bc4c5ee" elementFormDefault="qualified">
    <xsd:import namespace="http://schemas.microsoft.com/office/2006/documentManagement/types"/>
    <xsd:import namespace="http://schemas.microsoft.com/office/infopath/2007/PartnerControls"/>
    <xsd:element name="UBICACI_x00d3_N_x0020_FUID" ma:index="2" ma:displayName="Ubicación FUID" ma:format="Dropdown" ma:internalName="UBICACI_x00d3_N_x0020_FUID"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MediaServiceLocation" ma:index="20" nillable="true" ma:displayName="Location" ma:hidden="true"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674c45be-ea38-4724-9e42-a2e31b90b4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03b5ff-16e3-4935-814e-3e9e1f008f32" elementFormDefault="qualified">
    <xsd:import namespace="http://schemas.microsoft.com/office/2006/documentManagement/types"/>
    <xsd:import namespace="http://schemas.microsoft.com/office/infopath/2007/PartnerControls"/>
    <xsd:element name="SharedWithUsers" ma:index="17"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hidden="true" ma:internalName="SharedWithDetails" ma:readOnly="true">
      <xsd:simpleType>
        <xsd:restriction base="dms:Note"/>
      </xsd:simpleType>
    </xsd:element>
    <xsd:element name="TaxCatchAll" ma:index="24" nillable="true" ma:displayName="Columna global de taxonomía" ma:hidden="true" ma:list="{15e182de-384f-4e41-8e09-0fdd6eb55eef}" ma:internalName="TaxCatchAll" ma:readOnly="false" ma:showField="CatchAllData" ma:web="9803b5ff-16e3-4935-814e-3e9e1f008f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e9123fa-a0bd-4bd8-868e-9c476bc4c5ee">
      <Terms xmlns="http://schemas.microsoft.com/office/infopath/2007/PartnerControls"/>
    </lcf76f155ced4ddcb4097134ff3c332f>
    <UBICACI_x00d3_N_x0020_FUID xmlns="ee9123fa-a0bd-4bd8-868e-9c476bc4c5ee">Entregable</UBICACI_x00d3_N_x0020_FUID>
    <TaxCatchAll xmlns="9803b5ff-16e3-4935-814e-3e9e1f008f32" xsi:nil="true"/>
  </documentManagement>
</p:properties>
</file>

<file path=customXml/itemProps1.xml><?xml version="1.0" encoding="utf-8"?>
<ds:datastoreItem xmlns:ds="http://schemas.openxmlformats.org/officeDocument/2006/customXml" ds:itemID="{82ED3E53-C2EA-45C0-9BFC-50D06DF38E67}"/>
</file>

<file path=customXml/itemProps2.xml><?xml version="1.0" encoding="utf-8"?>
<ds:datastoreItem xmlns:ds="http://schemas.openxmlformats.org/officeDocument/2006/customXml" ds:itemID="{0070C9CB-40F5-4A7E-920B-E65D8B36CA68}"/>
</file>

<file path=customXml/itemProps3.xml><?xml version="1.0" encoding="utf-8"?>
<ds:datastoreItem xmlns:ds="http://schemas.openxmlformats.org/officeDocument/2006/customXml" ds:itemID="{7733EAC8-8CB6-43CE-8884-552CD6907F30}"/>
</file>

<file path=docMetadata/LabelInfo.xml><?xml version="1.0" encoding="utf-8"?>
<clbl:labelList xmlns:clbl="http://schemas.microsoft.com/office/2020/mipLabelMetadata">
  <clbl:label id="{9cb8cdce-76f3-4733-b872-7f7ece033f1c}" enabled="1" method="Privileged" siteId="{7d321262-f092-4e84-bb7c-97bc5421bd2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Javier Leguízamo</dc:creator>
  <cp:keywords/>
  <dc:description/>
  <cp:lastModifiedBy/>
  <cp:revision/>
  <dcterms:created xsi:type="dcterms:W3CDTF">2026-06-09T20:38:46Z</dcterms:created>
  <dcterms:modified xsi:type="dcterms:W3CDTF">2026-09-15T15:25:25Z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0x010100C119CF5127C07B429B003BD9C5404B91</vt:lpwstr>
  </property>
  <property fmtid="{D5CDD505-2E9C-101B-9397-08002B2CF9AE}" pid="3" name="MediaServiceImageTags">
    <vt:lpwstr/>
  </property>
</Properties>
</file>